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nmo\Desktop\"/>
    </mc:Choice>
  </mc:AlternateContent>
  <xr:revisionPtr revIDLastSave="0" documentId="13_ncr:1_{C8B2C1C6-CCC9-4D84-8ADD-B551E180AE9D}" xr6:coauthVersionLast="47" xr6:coauthVersionMax="47" xr10:uidLastSave="{00000000-0000-0000-0000-000000000000}"/>
  <bookViews>
    <workbookView xWindow="-120" yWindow="-120" windowWidth="51840" windowHeight="21120" activeTab="8" xr2:uid="{DA0993AE-27F9-4280-9419-E842FD941970}"/>
  </bookViews>
  <sheets>
    <sheet name="입력" sheetId="5" r:id="rId1"/>
    <sheet name="검토서표지" sheetId="6" r:id="rId2"/>
    <sheet name="검토서갑지" sheetId="7" r:id="rId3"/>
    <sheet name="계산서표지" sheetId="10" r:id="rId4"/>
    <sheet name="제출문" sheetId="11" r:id="rId5"/>
    <sheet name="계산서인장" sheetId="12" r:id="rId6"/>
    <sheet name="자격증사본" sheetId="13" r:id="rId7"/>
    <sheet name="계산서 갑지" sheetId="14" r:id="rId8"/>
    <sheet name="지상1층" sheetId="16" r:id="rId9"/>
    <sheet name="PIT" sheetId="18" state="hidden" r:id="rId10"/>
    <sheet name="기초안정성확인서" sheetId="17" state="hidden" r:id="rId11"/>
    <sheet name="B-7.4(무보강)" sheetId="2" state="hidden" r:id="rId12"/>
    <sheet name="B-5.1(무보강)" sheetId="3" state="hidden" r:id="rId13"/>
    <sheet name="공법개요" sheetId="8" state="hidden" r:id="rId14"/>
  </sheets>
  <externalReferences>
    <externalReference r:id="rId15"/>
    <externalReference r:id="rId16"/>
  </externalReferences>
  <definedNames>
    <definedName name="_xlnm.Print_Area" localSheetId="9">PIT!$A$1:$AA$651</definedName>
    <definedName name="_xlnm.Print_Area" localSheetId="2">검토서갑지!$A$1:$AC$24</definedName>
    <definedName name="_xlnm.Print_Area" localSheetId="7">'계산서 갑지'!$A$1:$AC$32</definedName>
    <definedName name="_xlnm.Print_Area" localSheetId="5">계산서인장!$A$1:$AC$17</definedName>
    <definedName name="_xlnm.Print_Area" localSheetId="13">공법개요!$A$1:$AC$100</definedName>
    <definedName name="_xlnm.Print_Area" localSheetId="8">지상1층!$A$1:$AA$651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7" l="1"/>
  <c r="AD528" i="16"/>
  <c r="AD527" i="16"/>
  <c r="AC14" i="16"/>
  <c r="AC15" i="16"/>
  <c r="AR498" i="18"/>
  <c r="AD459" i="18"/>
  <c r="G110" i="18"/>
  <c r="AG41" i="18"/>
  <c r="L645" i="18"/>
  <c r="X640" i="18"/>
  <c r="T640" i="18"/>
  <c r="B640" i="18"/>
  <c r="K636" i="18"/>
  <c r="H640" i="18" s="1"/>
  <c r="G636" i="18"/>
  <c r="D640" i="18" s="1"/>
  <c r="B630" i="18"/>
  <c r="T601" i="18"/>
  <c r="T598" i="18" s="1"/>
  <c r="U585" i="18"/>
  <c r="W521" i="18" s="1"/>
  <c r="H556" i="18" s="1"/>
  <c r="S578" i="18"/>
  <c r="Q574" i="18"/>
  <c r="AQ572" i="18"/>
  <c r="AM572" i="18"/>
  <c r="AJ566" i="18"/>
  <c r="AJ565" i="18"/>
  <c r="AL565" i="18" s="1"/>
  <c r="AM564" i="18"/>
  <c r="AI562" i="18"/>
  <c r="AI570" i="18" s="1"/>
  <c r="AY556" i="18"/>
  <c r="AX556" i="18"/>
  <c r="AP556" i="18"/>
  <c r="AF556" i="18"/>
  <c r="AE556" i="18"/>
  <c r="AD556" i="18"/>
  <c r="AY555" i="18"/>
  <c r="AP555" i="18"/>
  <c r="AJ555" i="18"/>
  <c r="AX555" i="18" s="1"/>
  <c r="AF555" i="18"/>
  <c r="AE555" i="18"/>
  <c r="AY554" i="18"/>
  <c r="AP554" i="18"/>
  <c r="AJ554" i="18"/>
  <c r="AX554" i="18" s="1"/>
  <c r="AF554" i="18"/>
  <c r="AD555" i="18" s="1"/>
  <c r="AE554" i="18"/>
  <c r="P554" i="18"/>
  <c r="AU553" i="18"/>
  <c r="AE553" i="18"/>
  <c r="AU552" i="18"/>
  <c r="AP552" i="18"/>
  <c r="AI552" i="18"/>
  <c r="AG552" i="18"/>
  <c r="AE552" i="18"/>
  <c r="AF551" i="18"/>
  <c r="AD552" i="18" s="1"/>
  <c r="AE551" i="18"/>
  <c r="AU550" i="18"/>
  <c r="AE550" i="18"/>
  <c r="AU549" i="18"/>
  <c r="AF549" i="18"/>
  <c r="AD550" i="18" s="1"/>
  <c r="AE549" i="18"/>
  <c r="AF548" i="18"/>
  <c r="AD549" i="18" s="1"/>
  <c r="AE548" i="18"/>
  <c r="AU547" i="18"/>
  <c r="AE547" i="18"/>
  <c r="AD547" i="18"/>
  <c r="AU546" i="18"/>
  <c r="AI546" i="18"/>
  <c r="AE546" i="18"/>
  <c r="AE545" i="18"/>
  <c r="AF544" i="18"/>
  <c r="AE544" i="18"/>
  <c r="AE543" i="18"/>
  <c r="AU542" i="18"/>
  <c r="AF542" i="18"/>
  <c r="AD543" i="18" s="1"/>
  <c r="AE542" i="18"/>
  <c r="AF541" i="18"/>
  <c r="AE541" i="18"/>
  <c r="AD541" i="18"/>
  <c r="AU540" i="18"/>
  <c r="AF540" i="18"/>
  <c r="AE540" i="18"/>
  <c r="AU539" i="18"/>
  <c r="AI539" i="18"/>
  <c r="AG539" i="18"/>
  <c r="AF539" i="18"/>
  <c r="AD540" i="18" s="1"/>
  <c r="AG540" i="18" s="1"/>
  <c r="AE539" i="18"/>
  <c r="AF538" i="18"/>
  <c r="AD539" i="18" s="1"/>
  <c r="AE538" i="18"/>
  <c r="AF537" i="18"/>
  <c r="AE537" i="18"/>
  <c r="AD537" i="18"/>
  <c r="AF536" i="18"/>
  <c r="AE536" i="18"/>
  <c r="AF535" i="18"/>
  <c r="AE535" i="18"/>
  <c r="AF534" i="18"/>
  <c r="AE534" i="18"/>
  <c r="AU533" i="18"/>
  <c r="AF533" i="18"/>
  <c r="AD534" i="18" s="1"/>
  <c r="AE533" i="18"/>
  <c r="AD533" i="18"/>
  <c r="B533" i="18" s="1"/>
  <c r="D533" i="18"/>
  <c r="E533" i="18" s="1"/>
  <c r="AU532" i="18"/>
  <c r="AF532" i="18"/>
  <c r="D532" i="18" s="1"/>
  <c r="AE532" i="18"/>
  <c r="AD532" i="18"/>
  <c r="B532" i="18" s="1"/>
  <c r="E532" i="18"/>
  <c r="AU531" i="18"/>
  <c r="AF531" i="18"/>
  <c r="D531" i="18" s="1"/>
  <c r="AE531" i="18"/>
  <c r="AU530" i="18"/>
  <c r="AE530" i="18"/>
  <c r="AU529" i="18"/>
  <c r="AF529" i="18"/>
  <c r="AE529" i="18"/>
  <c r="AD529" i="18"/>
  <c r="B529" i="18" s="1"/>
  <c r="AU528" i="18"/>
  <c r="AF528" i="18"/>
  <c r="D528" i="18" s="1"/>
  <c r="AE528" i="18"/>
  <c r="AU527" i="18"/>
  <c r="AQ527" i="18"/>
  <c r="AP527" i="18"/>
  <c r="E521" i="18"/>
  <c r="B521" i="18"/>
  <c r="K513" i="18"/>
  <c r="S511" i="18"/>
  <c r="N511" i="18"/>
  <c r="W510" i="18"/>
  <c r="K510" i="18"/>
  <c r="R508" i="18"/>
  <c r="R510" i="18" s="1"/>
  <c r="J508" i="18"/>
  <c r="G508" i="18"/>
  <c r="N574" i="18" s="1"/>
  <c r="T574" i="18" s="1"/>
  <c r="J578" i="18" s="1"/>
  <c r="AM501" i="18"/>
  <c r="AI499" i="18"/>
  <c r="AF120" i="18" s="1"/>
  <c r="AI498" i="18"/>
  <c r="AR497" i="18"/>
  <c r="AK497" i="18"/>
  <c r="AM497" i="18" s="1"/>
  <c r="AJ495" i="18"/>
  <c r="AJ494" i="18"/>
  <c r="AM493" i="18"/>
  <c r="AL493" i="18"/>
  <c r="U493" i="18"/>
  <c r="AI491" i="18"/>
  <c r="H487" i="18"/>
  <c r="AP484" i="18"/>
  <c r="AF484" i="18"/>
  <c r="AF553" i="18" s="1"/>
  <c r="AG553" i="18" s="1"/>
  <c r="AI483" i="18"/>
  <c r="AF483" i="18"/>
  <c r="AF552" i="18" s="1"/>
  <c r="AD553" i="18" s="1"/>
  <c r="AD483" i="18"/>
  <c r="P483" i="18"/>
  <c r="AU482" i="18"/>
  <c r="AF482" i="18"/>
  <c r="AF481" i="18"/>
  <c r="AD481" i="18"/>
  <c r="AU480" i="18"/>
  <c r="AF480" i="18"/>
  <c r="AF479" i="18"/>
  <c r="AD480" i="18" s="1"/>
  <c r="AU478" i="18"/>
  <c r="AF478" i="18"/>
  <c r="AD478" i="18"/>
  <c r="AU477" i="18"/>
  <c r="AF477" i="18"/>
  <c r="AF546" i="18" s="1"/>
  <c r="AU476" i="18"/>
  <c r="AF476" i="18"/>
  <c r="AD477" i="18" s="1"/>
  <c r="AD476" i="18"/>
  <c r="AF475" i="18"/>
  <c r="AF474" i="18"/>
  <c r="AD474" i="18"/>
  <c r="AG474" i="18" s="1"/>
  <c r="AU473" i="18"/>
  <c r="AP473" i="18"/>
  <c r="AI473" i="18"/>
  <c r="AI542" i="18" s="1"/>
  <c r="AF473" i="18"/>
  <c r="AF472" i="18"/>
  <c r="AD473" i="18" s="1"/>
  <c r="AG473" i="18" s="1"/>
  <c r="AD472" i="18"/>
  <c r="AU471" i="18"/>
  <c r="AF471" i="18"/>
  <c r="AD471" i="18"/>
  <c r="AU470" i="18"/>
  <c r="AF470" i="18"/>
  <c r="AG470" i="18" s="1"/>
  <c r="AP470" i="18" s="1"/>
  <c r="AD470" i="18"/>
  <c r="AG469" i="18"/>
  <c r="AF469" i="18"/>
  <c r="AD469" i="18"/>
  <c r="AF468" i="18"/>
  <c r="AF467" i="18"/>
  <c r="AD468" i="18" s="1"/>
  <c r="AD467" i="18"/>
  <c r="AG467" i="18" s="1"/>
  <c r="AF466" i="18"/>
  <c r="AD466" i="18"/>
  <c r="AG466" i="18" s="1"/>
  <c r="AU465" i="18"/>
  <c r="AF465" i="18"/>
  <c r="AD465" i="18"/>
  <c r="AU464" i="18"/>
  <c r="AP464" i="18"/>
  <c r="AF464" i="18"/>
  <c r="D464" i="18"/>
  <c r="E464" i="18" s="1"/>
  <c r="B464" i="18"/>
  <c r="AU463" i="18"/>
  <c r="AI463" i="18"/>
  <c r="J463" i="18" s="1"/>
  <c r="AG463" i="18"/>
  <c r="AP463" i="18" s="1"/>
  <c r="AF463" i="18"/>
  <c r="AD464" i="18" s="1"/>
  <c r="AG464" i="18" s="1"/>
  <c r="D463" i="18"/>
  <c r="B463" i="18"/>
  <c r="AU462" i="18"/>
  <c r="AI462" i="18"/>
  <c r="AF462" i="18"/>
  <c r="AD463" i="18" s="1"/>
  <c r="D462" i="18"/>
  <c r="AU461" i="18"/>
  <c r="AI461" i="18"/>
  <c r="AI530" i="18" s="1"/>
  <c r="J530" i="18" s="1"/>
  <c r="AF461" i="18"/>
  <c r="AG461" i="18" s="1"/>
  <c r="AD461" i="18"/>
  <c r="B461" i="18" s="1"/>
  <c r="AU460" i="18"/>
  <c r="AF460" i="18"/>
  <c r="D460" i="18" s="1"/>
  <c r="AD460" i="18"/>
  <c r="B460" i="18" s="1"/>
  <c r="E460" i="18"/>
  <c r="AU459" i="18"/>
  <c r="AI459" i="18"/>
  <c r="AF459" i="18"/>
  <c r="D459" i="18"/>
  <c r="AU458" i="18"/>
  <c r="W452" i="18"/>
  <c r="E452" i="18"/>
  <c r="B452" i="18"/>
  <c r="R381" i="18"/>
  <c r="Q380" i="18"/>
  <c r="F375" i="18"/>
  <c r="V375" i="18" s="1"/>
  <c r="R372" i="18"/>
  <c r="Q371" i="18"/>
  <c r="F366" i="18"/>
  <c r="V366" i="18" s="1"/>
  <c r="R363" i="18"/>
  <c r="Q362" i="18"/>
  <c r="S357" i="18"/>
  <c r="F357" i="18"/>
  <c r="P352" i="18"/>
  <c r="J352" i="18"/>
  <c r="T352" i="18" s="1"/>
  <c r="AI350" i="18"/>
  <c r="AI347" i="18"/>
  <c r="R354" i="18" s="1"/>
  <c r="Q286" i="18"/>
  <c r="F237" i="18"/>
  <c r="B237" i="18"/>
  <c r="F209" i="18"/>
  <c r="B209" i="18"/>
  <c r="M222" i="18" s="1"/>
  <c r="W204" i="18"/>
  <c r="W203" i="18"/>
  <c r="E249" i="18" s="1"/>
  <c r="AO200" i="18"/>
  <c r="AO199" i="18"/>
  <c r="AQ198" i="18"/>
  <c r="AO198" i="18"/>
  <c r="AI194" i="18"/>
  <c r="S138" i="18"/>
  <c r="AD131" i="18"/>
  <c r="AG131" i="18" s="1"/>
  <c r="AG130" i="18"/>
  <c r="AD130" i="18"/>
  <c r="B128" i="18"/>
  <c r="R128" i="18" s="1"/>
  <c r="AD128" i="18" s="1"/>
  <c r="R126" i="18"/>
  <c r="AD126" i="18" s="1"/>
  <c r="AG126" i="18" s="1"/>
  <c r="N126" i="18"/>
  <c r="P126" i="18" s="1"/>
  <c r="AU122" i="18"/>
  <c r="AO117" i="18"/>
  <c r="J117" i="18"/>
  <c r="AD114" i="18"/>
  <c r="AG114" i="18" s="1"/>
  <c r="AD113" i="18"/>
  <c r="AG113" i="18" s="1"/>
  <c r="AG112" i="18"/>
  <c r="AD112" i="18"/>
  <c r="E111" i="18"/>
  <c r="I111" i="18" s="1"/>
  <c r="B111" i="18"/>
  <c r="K110" i="18"/>
  <c r="B109" i="18"/>
  <c r="Q100" i="18"/>
  <c r="N100" i="18"/>
  <c r="T100" i="18" s="1"/>
  <c r="R98" i="18"/>
  <c r="AJ92" i="18"/>
  <c r="AI92" i="18"/>
  <c r="H92" i="18"/>
  <c r="T97" i="18" s="1"/>
  <c r="E92" i="18"/>
  <c r="B92" i="18"/>
  <c r="R76" i="18"/>
  <c r="M75" i="18"/>
  <c r="M74" i="18"/>
  <c r="M73" i="18"/>
  <c r="M72" i="18"/>
  <c r="M71" i="18"/>
  <c r="J70" i="18" s="1"/>
  <c r="I69" i="18"/>
  <c r="R67" i="18"/>
  <c r="M66" i="18"/>
  <c r="M65" i="18"/>
  <c r="I60" i="18"/>
  <c r="M64" i="18" s="1"/>
  <c r="R57" i="18"/>
  <c r="M56" i="18"/>
  <c r="R56" i="18" s="1"/>
  <c r="R55" i="18"/>
  <c r="M55" i="18"/>
  <c r="R54" i="18"/>
  <c r="K57" i="18" s="1"/>
  <c r="M54" i="18"/>
  <c r="R50" i="18"/>
  <c r="M49" i="18"/>
  <c r="R49" i="18" s="1"/>
  <c r="M48" i="18"/>
  <c r="R48" i="18" s="1"/>
  <c r="R47" i="18"/>
  <c r="K50" i="18" s="1"/>
  <c r="M47" i="18"/>
  <c r="AG42" i="18"/>
  <c r="AG44" i="18" s="1"/>
  <c r="AL37" i="18"/>
  <c r="AI37" i="18"/>
  <c r="AF37" i="18"/>
  <c r="AD37" i="18"/>
  <c r="AM36" i="18"/>
  <c r="AL36" i="18"/>
  <c r="AI36" i="18"/>
  <c r="AF36" i="18"/>
  <c r="AU483" i="18" s="1"/>
  <c r="AD36" i="18"/>
  <c r="AM35" i="18"/>
  <c r="AI482" i="18" s="1"/>
  <c r="AI551" i="18" s="1"/>
  <c r="AI35" i="18"/>
  <c r="AL35" i="18" s="1"/>
  <c r="AF35" i="18"/>
  <c r="AU551" i="18" s="1"/>
  <c r="AD35" i="18"/>
  <c r="AI34" i="18"/>
  <c r="AL34" i="18" s="1"/>
  <c r="AF34" i="18"/>
  <c r="AU481" i="18" s="1"/>
  <c r="AD34" i="18"/>
  <c r="AM33" i="18"/>
  <c r="AI480" i="18" s="1"/>
  <c r="AI549" i="18" s="1"/>
  <c r="AL33" i="18"/>
  <c r="AI33" i="18"/>
  <c r="AF33" i="18"/>
  <c r="AD33" i="18"/>
  <c r="AM32" i="18"/>
  <c r="AI479" i="18" s="1"/>
  <c r="AI548" i="18" s="1"/>
  <c r="AI32" i="18"/>
  <c r="AL32" i="18" s="1"/>
  <c r="AF32" i="18"/>
  <c r="AD32" i="18"/>
  <c r="AI31" i="18"/>
  <c r="AL31" i="18" s="1"/>
  <c r="AF31" i="18"/>
  <c r="AM31" i="18" s="1"/>
  <c r="AI478" i="18" s="1"/>
  <c r="AI547" i="18" s="1"/>
  <c r="AD31" i="18"/>
  <c r="AI30" i="18"/>
  <c r="AL30" i="18" s="1"/>
  <c r="AF30" i="18"/>
  <c r="AM30" i="18" s="1"/>
  <c r="AI477" i="18" s="1"/>
  <c r="AD30" i="18"/>
  <c r="AI29" i="18"/>
  <c r="AL29" i="18" s="1"/>
  <c r="AF29" i="18"/>
  <c r="AD29" i="18"/>
  <c r="AI28" i="18"/>
  <c r="AL28" i="18" s="1"/>
  <c r="AF28" i="18"/>
  <c r="AU544" i="18" s="1"/>
  <c r="AD28" i="18"/>
  <c r="AI27" i="18"/>
  <c r="AL27" i="18" s="1"/>
  <c r="AF27" i="18"/>
  <c r="AU474" i="18" s="1"/>
  <c r="AD27" i="18"/>
  <c r="AM26" i="18"/>
  <c r="AL26" i="18"/>
  <c r="AI26" i="18"/>
  <c r="AF26" i="18"/>
  <c r="AD26" i="18"/>
  <c r="AI25" i="18"/>
  <c r="AL25" i="18" s="1"/>
  <c r="AR25" i="18" s="1"/>
  <c r="AF25" i="18"/>
  <c r="AD25" i="18"/>
  <c r="AM24" i="18"/>
  <c r="AI471" i="18" s="1"/>
  <c r="AI540" i="18" s="1"/>
  <c r="AI24" i="18"/>
  <c r="AL24" i="18" s="1"/>
  <c r="AF24" i="18"/>
  <c r="AD24" i="18"/>
  <c r="AM23" i="18"/>
  <c r="AI470" i="18" s="1"/>
  <c r="AL23" i="18"/>
  <c r="AI23" i="18"/>
  <c r="AF23" i="18"/>
  <c r="AD23" i="18"/>
  <c r="AI22" i="18"/>
  <c r="AL22" i="18" s="1"/>
  <c r="AF22" i="18"/>
  <c r="AD22" i="18"/>
  <c r="AI21" i="18"/>
  <c r="AL21" i="18" s="1"/>
  <c r="AR21" i="18" s="1"/>
  <c r="AF21" i="18"/>
  <c r="AU537" i="18" s="1"/>
  <c r="AD21" i="18"/>
  <c r="AI20" i="18"/>
  <c r="AL20" i="18" s="1"/>
  <c r="AF20" i="18"/>
  <c r="AM20" i="18" s="1"/>
  <c r="AI467" i="18" s="1"/>
  <c r="AI536" i="18" s="1"/>
  <c r="AD20" i="18"/>
  <c r="AI19" i="18"/>
  <c r="AL19" i="18" s="1"/>
  <c r="AF19" i="18"/>
  <c r="AU466" i="18" s="1"/>
  <c r="AD19" i="18"/>
  <c r="AI18" i="18"/>
  <c r="AL18" i="18" s="1"/>
  <c r="AR18" i="18" s="1"/>
  <c r="AF18" i="18"/>
  <c r="AU534" i="18" s="1"/>
  <c r="AD18" i="18"/>
  <c r="AC18" i="18"/>
  <c r="AM17" i="18"/>
  <c r="AI464" i="18" s="1"/>
  <c r="AI17" i="18"/>
  <c r="AL17" i="18" s="1"/>
  <c r="AR17" i="18" s="1"/>
  <c r="AD17" i="18"/>
  <c r="AC17" i="18"/>
  <c r="AM16" i="18"/>
  <c r="AI16" i="18"/>
  <c r="AL16" i="18" s="1"/>
  <c r="AD16" i="18"/>
  <c r="AC16" i="18"/>
  <c r="U16" i="18"/>
  <c r="K16" i="18"/>
  <c r="K129" i="18" s="1"/>
  <c r="F16" i="18"/>
  <c r="H16" i="18" s="1"/>
  <c r="D16" i="18"/>
  <c r="E129" i="18" s="1"/>
  <c r="I129" i="18" s="1"/>
  <c r="B16" i="18"/>
  <c r="B129" i="18" s="1"/>
  <c r="AM15" i="18"/>
  <c r="AI15" i="18"/>
  <c r="AL15" i="18" s="1"/>
  <c r="AD15" i="18"/>
  <c r="AC15" i="18"/>
  <c r="X15" i="18"/>
  <c r="K15" i="18"/>
  <c r="F15" i="18"/>
  <c r="B15" i="18"/>
  <c r="B110" i="18" s="1"/>
  <c r="AM14" i="18"/>
  <c r="AI14" i="18"/>
  <c r="AL14" i="18" s="1"/>
  <c r="AR14" i="18" s="1"/>
  <c r="AD14" i="18"/>
  <c r="AC14" i="18"/>
  <c r="X14" i="18"/>
  <c r="U14" i="18"/>
  <c r="U109" i="18" s="1"/>
  <c r="K14" i="18"/>
  <c r="H14" i="18"/>
  <c r="F14" i="18"/>
  <c r="B14" i="18"/>
  <c r="N110" i="18" s="1"/>
  <c r="AM13" i="18"/>
  <c r="AL13" i="18"/>
  <c r="AI13" i="18"/>
  <c r="AD13" i="18"/>
  <c r="AM12" i="18"/>
  <c r="AI12" i="18"/>
  <c r="AL12" i="18" s="1"/>
  <c r="AD12" i="18"/>
  <c r="AM11" i="18"/>
  <c r="AL11" i="18"/>
  <c r="AD11" i="18"/>
  <c r="J7" i="18"/>
  <c r="G7" i="18"/>
  <c r="V5" i="18"/>
  <c r="R5" i="18"/>
  <c r="B5" i="18"/>
  <c r="B636" i="18" s="1"/>
  <c r="AG1" i="18"/>
  <c r="AF1" i="18"/>
  <c r="B1" i="18"/>
  <c r="G128" i="16"/>
  <c r="AF37" i="16"/>
  <c r="AF36" i="16"/>
  <c r="AF35" i="16"/>
  <c r="AF34" i="16"/>
  <c r="AF33" i="16"/>
  <c r="AF32" i="16"/>
  <c r="AM32" i="16" s="1"/>
  <c r="AF31" i="16"/>
  <c r="AM31" i="16" s="1"/>
  <c r="AF30" i="16"/>
  <c r="AM30" i="16" s="1"/>
  <c r="AF29" i="16"/>
  <c r="AM29" i="16" s="1"/>
  <c r="AF28" i="16"/>
  <c r="AM28" i="16" s="1"/>
  <c r="AF27" i="16"/>
  <c r="AF26" i="16"/>
  <c r="AF25" i="16"/>
  <c r="AF24" i="16"/>
  <c r="AF23" i="16"/>
  <c r="AF22" i="16"/>
  <c r="AM22" i="16" s="1"/>
  <c r="AF21" i="16"/>
  <c r="AF20" i="16"/>
  <c r="AF19" i="16"/>
  <c r="AF18" i="16"/>
  <c r="AM18" i="16" s="1"/>
  <c r="AJ92" i="16"/>
  <c r="AG1" i="16"/>
  <c r="AF1" i="16"/>
  <c r="AI92" i="16"/>
  <c r="AM12" i="16"/>
  <c r="AM13" i="16"/>
  <c r="AM14" i="16"/>
  <c r="AM15" i="16"/>
  <c r="AM16" i="16"/>
  <c r="AM17" i="16"/>
  <c r="AM19" i="16"/>
  <c r="AM20" i="16"/>
  <c r="AM21" i="16"/>
  <c r="AM23" i="16"/>
  <c r="AM24" i="16"/>
  <c r="AM25" i="16"/>
  <c r="AM26" i="16"/>
  <c r="AM27" i="16"/>
  <c r="AM33" i="16"/>
  <c r="AM34" i="16"/>
  <c r="AM35" i="16"/>
  <c r="AM36" i="16"/>
  <c r="AM37" i="16"/>
  <c r="AM11" i="16"/>
  <c r="O512" i="18" l="1"/>
  <c r="E221" i="18"/>
  <c r="AM565" i="18"/>
  <c r="AM494" i="18"/>
  <c r="AL564" i="18"/>
  <c r="AR31" i="18"/>
  <c r="AR22" i="18"/>
  <c r="AR28" i="18"/>
  <c r="AR32" i="18"/>
  <c r="J464" i="18"/>
  <c r="AI533" i="18"/>
  <c r="J533" i="18" s="1"/>
  <c r="AR35" i="18"/>
  <c r="AR24" i="18"/>
  <c r="P367" i="18"/>
  <c r="V371" i="18" s="1"/>
  <c r="O373" i="18" s="1"/>
  <c r="S371" i="18"/>
  <c r="P369" i="18"/>
  <c r="AP461" i="18"/>
  <c r="AR33" i="18"/>
  <c r="U98" i="18"/>
  <c r="O98" i="18"/>
  <c r="AR15" i="18"/>
  <c r="AR36" i="18"/>
  <c r="AG534" i="18"/>
  <c r="AP553" i="18"/>
  <c r="AG549" i="18"/>
  <c r="G127" i="18"/>
  <c r="D15" i="18"/>
  <c r="AU548" i="18"/>
  <c r="AU479" i="18"/>
  <c r="L287" i="18"/>
  <c r="M250" i="18"/>
  <c r="J461" i="18"/>
  <c r="AU475" i="18"/>
  <c r="AD535" i="18"/>
  <c r="P158" i="18"/>
  <c r="P164" i="18"/>
  <c r="P165" i="18"/>
  <c r="P159" i="18"/>
  <c r="O366" i="18"/>
  <c r="AG465" i="18"/>
  <c r="E250" i="18"/>
  <c r="E222" i="18"/>
  <c r="K109" i="18"/>
  <c r="AM117" i="18" s="1"/>
  <c r="F578" i="18"/>
  <c r="N577" i="18"/>
  <c r="I598" i="18"/>
  <c r="R111" i="18"/>
  <c r="AD111" i="18" s="1"/>
  <c r="AG111" i="18" s="1"/>
  <c r="N111" i="18"/>
  <c r="P111" i="18" s="1"/>
  <c r="S229" i="18"/>
  <c r="M209" i="18"/>
  <c r="M452" i="18"/>
  <c r="N92" i="18"/>
  <c r="AU484" i="18"/>
  <c r="AM37" i="18"/>
  <c r="AI484" i="18" s="1"/>
  <c r="AI553" i="18" s="1"/>
  <c r="K111" i="18"/>
  <c r="AP467" i="18"/>
  <c r="AM29" i="18"/>
  <c r="AI476" i="18" s="1"/>
  <c r="AI545" i="18" s="1"/>
  <c r="AU545" i="18"/>
  <c r="AR34" i="18"/>
  <c r="AG533" i="18"/>
  <c r="AR30" i="18"/>
  <c r="AL494" i="18"/>
  <c r="AD554" i="18"/>
  <c r="P578" i="18"/>
  <c r="AR23" i="18"/>
  <c r="AU535" i="18"/>
  <c r="AM19" i="18"/>
  <c r="AI466" i="18" s="1"/>
  <c r="AG476" i="18"/>
  <c r="U111" i="18"/>
  <c r="U129" i="18"/>
  <c r="AG468" i="18"/>
  <c r="AR37" i="18"/>
  <c r="AR29" i="18"/>
  <c r="AG478" i="18"/>
  <c r="AF547" i="18"/>
  <c r="AR12" i="18"/>
  <c r="R109" i="18"/>
  <c r="AD109" i="18" s="1"/>
  <c r="N109" i="18"/>
  <c r="AG541" i="18"/>
  <c r="AD542" i="18"/>
  <c r="N128" i="18"/>
  <c r="AI195" i="18"/>
  <c r="AD545" i="18"/>
  <c r="AI569" i="18"/>
  <c r="AK568" i="18"/>
  <c r="AR27" i="18"/>
  <c r="D461" i="18"/>
  <c r="E461" i="18" s="1"/>
  <c r="AD462" i="18"/>
  <c r="AD482" i="18"/>
  <c r="AG482" i="18" s="1"/>
  <c r="AF550" i="18"/>
  <c r="AG481" i="18"/>
  <c r="AP540" i="18"/>
  <c r="AR26" i="18"/>
  <c r="AR11" i="18"/>
  <c r="AG537" i="18"/>
  <c r="AD538" i="18"/>
  <c r="S636" i="18"/>
  <c r="B644" i="18" s="1"/>
  <c r="AM21" i="18"/>
  <c r="AI468" i="18" s="1"/>
  <c r="AI537" i="18" s="1"/>
  <c r="AG471" i="18"/>
  <c r="G109" i="18"/>
  <c r="AU538" i="18"/>
  <c r="AU469" i="18"/>
  <c r="K128" i="18"/>
  <c r="AD479" i="18"/>
  <c r="U15" i="18"/>
  <c r="AI460" i="18"/>
  <c r="AG479" i="18"/>
  <c r="AF530" i="18"/>
  <c r="AR20" i="18"/>
  <c r="AD536" i="18"/>
  <c r="AU541" i="18"/>
  <c r="AU472" i="18"/>
  <c r="D529" i="18"/>
  <c r="E529" i="18" s="1"/>
  <c r="AD530" i="18"/>
  <c r="B530" i="18" s="1"/>
  <c r="AN200" i="18"/>
  <c r="AS200" i="18" s="1"/>
  <c r="AT200" i="18" s="1"/>
  <c r="AN199" i="18"/>
  <c r="AS199" i="18" s="1"/>
  <c r="AT199" i="18" s="1"/>
  <c r="AP474" i="18"/>
  <c r="AG529" i="18"/>
  <c r="X636" i="18"/>
  <c r="J462" i="18"/>
  <c r="AI531" i="18"/>
  <c r="J531" i="18" s="1"/>
  <c r="AR13" i="18"/>
  <c r="AM22" i="18"/>
  <c r="AI469" i="18" s="1"/>
  <c r="AI538" i="18" s="1"/>
  <c r="AP466" i="18"/>
  <c r="AU468" i="18"/>
  <c r="AG483" i="18"/>
  <c r="AF545" i="18"/>
  <c r="AP469" i="18"/>
  <c r="AP539" i="18"/>
  <c r="E463" i="18"/>
  <c r="AR568" i="18"/>
  <c r="R577" i="18"/>
  <c r="J459" i="18"/>
  <c r="AI528" i="18"/>
  <c r="J528" i="18" s="1"/>
  <c r="L521" i="18"/>
  <c r="H577" i="18" s="1"/>
  <c r="AM28" i="18"/>
  <c r="AI475" i="18" s="1"/>
  <c r="AI544" i="18" s="1"/>
  <c r="AM25" i="18"/>
  <c r="AI472" i="18" s="1"/>
  <c r="AI541" i="18" s="1"/>
  <c r="K76" i="18"/>
  <c r="C50" i="18"/>
  <c r="C67" i="18" s="1"/>
  <c r="B127" i="18"/>
  <c r="U127" i="18" s="1"/>
  <c r="N129" i="18"/>
  <c r="P129" i="18" s="1"/>
  <c r="R129" i="18"/>
  <c r="AD129" i="18" s="1"/>
  <c r="AG129" i="18" s="1"/>
  <c r="AM18" i="18"/>
  <c r="AI465" i="18" s="1"/>
  <c r="R110" i="18"/>
  <c r="AD110" i="18" s="1"/>
  <c r="AR19" i="18"/>
  <c r="C57" i="18"/>
  <c r="C76" i="18" s="1"/>
  <c r="AD475" i="18"/>
  <c r="AG475" i="18" s="1"/>
  <c r="AF543" i="18"/>
  <c r="L98" i="18"/>
  <c r="Q97" i="18"/>
  <c r="AG460" i="18"/>
  <c r="AG477" i="18"/>
  <c r="AG532" i="18"/>
  <c r="S380" i="18"/>
  <c r="P378" i="18"/>
  <c r="AI532" i="18"/>
  <c r="J532" i="18" s="1"/>
  <c r="AG472" i="18"/>
  <c r="P376" i="18"/>
  <c r="V380" i="18" s="1"/>
  <c r="AM34" i="18"/>
  <c r="AI481" i="18" s="1"/>
  <c r="AI550" i="18" s="1"/>
  <c r="O375" i="18"/>
  <c r="AU543" i="18"/>
  <c r="AG43" i="18"/>
  <c r="N5" i="18" s="1"/>
  <c r="AM27" i="18"/>
  <c r="AI474" i="18" s="1"/>
  <c r="AI543" i="18" s="1"/>
  <c r="M63" i="18"/>
  <c r="V357" i="18"/>
  <c r="AU536" i="18"/>
  <c r="AR16" i="18"/>
  <c r="AU467" i="18"/>
  <c r="H15" i="18"/>
  <c r="H19" i="18" s="1"/>
  <c r="M62" i="18"/>
  <c r="O357" i="18"/>
  <c r="AG480" i="18"/>
  <c r="AG538" i="18"/>
  <c r="AG542" i="18"/>
  <c r="T601" i="16"/>
  <c r="AP475" i="18" l="1"/>
  <c r="AG543" i="18"/>
  <c r="AD544" i="18"/>
  <c r="AG544" i="18" s="1"/>
  <c r="AP480" i="18"/>
  <c r="AP537" i="18"/>
  <c r="U508" i="18"/>
  <c r="K512" i="18" s="1"/>
  <c r="T512" i="18" s="1"/>
  <c r="L492" i="18"/>
  <c r="U490" i="18"/>
  <c r="D530" i="18"/>
  <c r="E530" i="18" s="1"/>
  <c r="AD531" i="18"/>
  <c r="AG530" i="18"/>
  <c r="AI535" i="18"/>
  <c r="AG536" i="18"/>
  <c r="AP479" i="18"/>
  <c r="AP478" i="18"/>
  <c r="AP529" i="18"/>
  <c r="AP468" i="18"/>
  <c r="B459" i="18"/>
  <c r="E459" i="18" s="1"/>
  <c r="AG459" i="18"/>
  <c r="AP471" i="18"/>
  <c r="AP542" i="18"/>
  <c r="AP538" i="18"/>
  <c r="M97" i="18"/>
  <c r="X97" i="18" s="1"/>
  <c r="AP541" i="18"/>
  <c r="AP533" i="18"/>
  <c r="AI534" i="18"/>
  <c r="O382" i="18"/>
  <c r="AP482" i="18"/>
  <c r="AP532" i="18"/>
  <c r="O636" i="18"/>
  <c r="L640" i="18" s="1"/>
  <c r="J209" i="18"/>
  <c r="I452" i="18"/>
  <c r="G138" i="18"/>
  <c r="AH1" i="18"/>
  <c r="K92" i="18"/>
  <c r="P162" i="18"/>
  <c r="O167" i="18" s="1"/>
  <c r="P161" i="18"/>
  <c r="F167" i="18" s="1"/>
  <c r="E126" i="18"/>
  <c r="G126" i="18" s="1"/>
  <c r="E109" i="18"/>
  <c r="I109" i="18" s="1"/>
  <c r="J237" i="18"/>
  <c r="AI196" i="18"/>
  <c r="H521" i="18"/>
  <c r="AP549" i="18"/>
  <c r="AP483" i="18"/>
  <c r="AP472" i="18"/>
  <c r="K67" i="18"/>
  <c r="J61" i="18"/>
  <c r="AP481" i="18"/>
  <c r="AI529" i="18"/>
  <c r="J529" i="18" s="1"/>
  <c r="J460" i="18"/>
  <c r="R127" i="18"/>
  <c r="AD127" i="18" s="1"/>
  <c r="N127" i="18"/>
  <c r="S362" i="18"/>
  <c r="P360" i="18"/>
  <c r="P358" i="18"/>
  <c r="V362" i="18" s="1"/>
  <c r="AP477" i="18"/>
  <c r="K127" i="18"/>
  <c r="E110" i="18"/>
  <c r="I110" i="18" s="1"/>
  <c r="P110" i="18" s="1"/>
  <c r="E128" i="18"/>
  <c r="AP465" i="18"/>
  <c r="AP534" i="18"/>
  <c r="AD548" i="18"/>
  <c r="AG548" i="18" s="1"/>
  <c r="AG547" i="18"/>
  <c r="AG550" i="18"/>
  <c r="AD551" i="18"/>
  <c r="AG551" i="18" s="1"/>
  <c r="U128" i="18"/>
  <c r="U110" i="18"/>
  <c r="B462" i="18"/>
  <c r="E462" i="18" s="1"/>
  <c r="AG462" i="18"/>
  <c r="AG535" i="18"/>
  <c r="AP460" i="18"/>
  <c r="AM568" i="18"/>
  <c r="W577" i="18"/>
  <c r="N521" i="18" s="1"/>
  <c r="AD546" i="18"/>
  <c r="AG546" i="18" s="1"/>
  <c r="AG545" i="18"/>
  <c r="AP476" i="18"/>
  <c r="V5" i="16"/>
  <c r="AG42" i="16"/>
  <c r="B21" i="5"/>
  <c r="B22" i="5"/>
  <c r="B14" i="16"/>
  <c r="F14" i="16"/>
  <c r="H14" i="16" s="1"/>
  <c r="K14" i="16"/>
  <c r="X14" i="16"/>
  <c r="B15" i="16"/>
  <c r="F15" i="16"/>
  <c r="D16" i="16" s="1"/>
  <c r="K15" i="16"/>
  <c r="X15" i="16"/>
  <c r="B16" i="16"/>
  <c r="F16" i="16"/>
  <c r="K16" i="16"/>
  <c r="E127" i="18" l="1"/>
  <c r="I127" i="18" s="1"/>
  <c r="G128" i="18"/>
  <c r="I128" i="18" s="1"/>
  <c r="Q452" i="18"/>
  <c r="E223" i="18"/>
  <c r="P209" i="18"/>
  <c r="P237" i="18"/>
  <c r="I115" i="18"/>
  <c r="AG109" i="18"/>
  <c r="P109" i="18"/>
  <c r="P115" i="18" s="1"/>
  <c r="I222" i="18"/>
  <c r="I250" i="18"/>
  <c r="S209" i="18"/>
  <c r="S237" i="18"/>
  <c r="I287" i="18" s="1"/>
  <c r="AP462" i="18"/>
  <c r="BA556" i="18"/>
  <c r="AJ568" i="18"/>
  <c r="AJ572" i="18"/>
  <c r="AD528" i="18"/>
  <c r="AQ573" i="18"/>
  <c r="AQ574" i="18" s="1"/>
  <c r="AQ569" i="18"/>
  <c r="AH199" i="18"/>
  <c r="AP198" i="18"/>
  <c r="K325" i="18"/>
  <c r="K322" i="18"/>
  <c r="N322" i="18" s="1"/>
  <c r="K324" i="18" s="1"/>
  <c r="AP547" i="18"/>
  <c r="AG110" i="18"/>
  <c r="AP545" i="18"/>
  <c r="AP536" i="18"/>
  <c r="AP546" i="18"/>
  <c r="AP459" i="18"/>
  <c r="AG127" i="18"/>
  <c r="AN198" i="18"/>
  <c r="L644" i="18"/>
  <c r="S398" i="18"/>
  <c r="P640" i="18" s="1"/>
  <c r="M237" i="18"/>
  <c r="C103" i="18"/>
  <c r="T394" i="18"/>
  <c r="O364" i="18"/>
  <c r="S384" i="18" s="1"/>
  <c r="L386" i="18" s="1"/>
  <c r="S386" i="18" s="1"/>
  <c r="N394" i="18" s="1"/>
  <c r="U582" i="18"/>
  <c r="L584" i="18"/>
  <c r="P127" i="18"/>
  <c r="AP544" i="18"/>
  <c r="AP530" i="18"/>
  <c r="X101" i="18"/>
  <c r="AP535" i="18"/>
  <c r="L590" i="18"/>
  <c r="L615" i="18"/>
  <c r="AP551" i="18"/>
  <c r="AP550" i="18"/>
  <c r="AP548" i="18"/>
  <c r="AJ497" i="18"/>
  <c r="AQ502" i="18"/>
  <c r="AQ503" i="18" s="1"/>
  <c r="AJ501" i="18"/>
  <c r="AQ498" i="18"/>
  <c r="AP543" i="18"/>
  <c r="B531" i="18"/>
  <c r="E531" i="18" s="1"/>
  <c r="AG531" i="18"/>
  <c r="H16" i="16"/>
  <c r="D15" i="16"/>
  <c r="H15" i="16" s="1"/>
  <c r="R5" i="16"/>
  <c r="AD131" i="16"/>
  <c r="AG131" i="16" s="1"/>
  <c r="AD114" i="16"/>
  <c r="AG114" i="16" s="1"/>
  <c r="AD113" i="16"/>
  <c r="AG113" i="16" s="1"/>
  <c r="AI37" i="16"/>
  <c r="B109" i="16"/>
  <c r="R57" i="16"/>
  <c r="H92" i="16"/>
  <c r="U15" i="16"/>
  <c r="U16" i="16"/>
  <c r="U14" i="16"/>
  <c r="I60" i="16"/>
  <c r="I69" i="16"/>
  <c r="R76" i="16"/>
  <c r="R67" i="16"/>
  <c r="R50" i="16"/>
  <c r="C50" i="16"/>
  <c r="C67" i="16" s="1"/>
  <c r="AG44" i="16"/>
  <c r="S138" i="16" s="1"/>
  <c r="B21" i="17"/>
  <c r="B17" i="17"/>
  <c r="B14" i="17"/>
  <c r="N7" i="17"/>
  <c r="N6" i="17"/>
  <c r="H5" i="17"/>
  <c r="H4" i="17"/>
  <c r="H3" i="17"/>
  <c r="B27" i="17"/>
  <c r="B24" i="17"/>
  <c r="R363" i="16"/>
  <c r="R381" i="16"/>
  <c r="R372" i="16"/>
  <c r="F375" i="16"/>
  <c r="F366" i="16"/>
  <c r="F357" i="16"/>
  <c r="AM572" i="16"/>
  <c r="AG128" i="18" l="1"/>
  <c r="AG132" i="18" s="1"/>
  <c r="I132" i="18"/>
  <c r="P128" i="18"/>
  <c r="AS198" i="18"/>
  <c r="AT198" i="18" s="1"/>
  <c r="AH198" i="18" s="1"/>
  <c r="B528" i="18"/>
  <c r="E528" i="18" s="1"/>
  <c r="AG528" i="18"/>
  <c r="AJ503" i="18"/>
  <c r="AJ502" i="18"/>
  <c r="AQ531" i="18"/>
  <c r="G531" i="18" s="1"/>
  <c r="AP531" i="18"/>
  <c r="P119" i="18"/>
  <c r="U119" i="18"/>
  <c r="K326" i="18"/>
  <c r="I328" i="18"/>
  <c r="P132" i="18"/>
  <c r="F286" i="18"/>
  <c r="E251" i="18"/>
  <c r="AJ498" i="18"/>
  <c r="AL498" i="18" s="1"/>
  <c r="AQ499" i="18"/>
  <c r="AJ570" i="18"/>
  <c r="AJ499" i="18"/>
  <c r="AG115" i="18"/>
  <c r="AG116" i="18" s="1"/>
  <c r="AG117" i="18" s="1"/>
  <c r="AJ569" i="18"/>
  <c r="AQ570" i="18"/>
  <c r="AJ574" i="18"/>
  <c r="AJ573" i="18"/>
  <c r="BA557" i="18"/>
  <c r="BB558" i="18"/>
  <c r="BA558" i="18"/>
  <c r="M598" i="18"/>
  <c r="E328" i="18"/>
  <c r="E330" i="18"/>
  <c r="E295" i="18"/>
  <c r="O492" i="18"/>
  <c r="L491" i="18"/>
  <c r="T452" i="18"/>
  <c r="E487" i="18" s="1"/>
  <c r="Q521" i="18"/>
  <c r="AR569" i="18" s="1"/>
  <c r="U489" i="18"/>
  <c r="U491" i="18" s="1"/>
  <c r="AK498" i="18"/>
  <c r="K487" i="18"/>
  <c r="AR502" i="18"/>
  <c r="AK502" i="18" s="1"/>
  <c r="AG43" i="16"/>
  <c r="N5" i="16" s="1"/>
  <c r="AH1" i="16" s="1"/>
  <c r="AM501" i="16"/>
  <c r="AQ572" i="16"/>
  <c r="AG133" i="18" l="1"/>
  <c r="AG134" i="18" s="1"/>
  <c r="AG135" i="18" s="1"/>
  <c r="U135" i="18" s="1"/>
  <c r="B198" i="18"/>
  <c r="N282" i="18"/>
  <c r="N269" i="18"/>
  <c r="N268" i="18" s="1"/>
  <c r="I285" i="18" s="1"/>
  <c r="N276" i="18"/>
  <c r="AL497" i="18"/>
  <c r="AL502" i="18"/>
  <c r="O584" i="18"/>
  <c r="T521" i="18"/>
  <c r="E556" i="18" s="1"/>
  <c r="L583" i="18"/>
  <c r="U583" i="18" s="1"/>
  <c r="U581" i="18"/>
  <c r="E598" i="18"/>
  <c r="AK569" i="18"/>
  <c r="AL568" i="18" s="1"/>
  <c r="AK528" i="18" s="1"/>
  <c r="K556" i="18"/>
  <c r="AR573" i="18"/>
  <c r="AK573" i="18" s="1"/>
  <c r="AL572" i="18" s="1"/>
  <c r="AL569" i="18"/>
  <c r="AM569" i="18" s="1"/>
  <c r="AK531" i="18" s="1"/>
  <c r="N279" i="18"/>
  <c r="Q285" i="18" s="1"/>
  <c r="N281" i="18"/>
  <c r="W287" i="18" s="1"/>
  <c r="AG118" i="18"/>
  <c r="U120" i="18" s="1"/>
  <c r="B195" i="18" s="1"/>
  <c r="AS120" i="18"/>
  <c r="AO118" i="18"/>
  <c r="AR118" i="18" s="1"/>
  <c r="AQ117" i="18" s="1"/>
  <c r="AS117" i="18" s="1"/>
  <c r="V209" i="18"/>
  <c r="I221" i="18" s="1"/>
  <c r="BC558" i="18"/>
  <c r="U328" i="18"/>
  <c r="I286" i="18"/>
  <c r="N270" i="18"/>
  <c r="O287" i="18" s="1"/>
  <c r="AQ528" i="18"/>
  <c r="G528" i="18" s="1"/>
  <c r="AP528" i="18"/>
  <c r="AQ552" i="18"/>
  <c r="AQ540" i="18"/>
  <c r="AQ539" i="18"/>
  <c r="AQ553" i="18"/>
  <c r="AQ549" i="18"/>
  <c r="AQ537" i="18"/>
  <c r="AQ532" i="18"/>
  <c r="AQ534" i="18"/>
  <c r="AQ541" i="18"/>
  <c r="AQ533" i="18"/>
  <c r="AQ542" i="18"/>
  <c r="AQ529" i="18"/>
  <c r="AQ538" i="18"/>
  <c r="AQ546" i="18"/>
  <c r="AQ551" i="18"/>
  <c r="AQ543" i="18"/>
  <c r="AQ550" i="18"/>
  <c r="AQ530" i="18"/>
  <c r="AQ548" i="18"/>
  <c r="AQ535" i="18"/>
  <c r="AQ536" i="18"/>
  <c r="AQ544" i="18"/>
  <c r="AQ547" i="18"/>
  <c r="AQ545" i="18"/>
  <c r="U134" i="18"/>
  <c r="V237" i="18" s="1"/>
  <c r="P134" i="18"/>
  <c r="AM498" i="18"/>
  <c r="N275" i="18"/>
  <c r="N273" i="18"/>
  <c r="M285" i="18" s="1"/>
  <c r="AL501" i="18"/>
  <c r="AM502" i="18"/>
  <c r="AQ458" i="18"/>
  <c r="AP458" i="18"/>
  <c r="AQ484" i="18"/>
  <c r="AQ464" i="18"/>
  <c r="AQ463" i="18"/>
  <c r="AQ473" i="18"/>
  <c r="AQ474" i="18"/>
  <c r="AQ467" i="18"/>
  <c r="AQ466" i="18"/>
  <c r="AQ470" i="18"/>
  <c r="AQ461" i="18"/>
  <c r="AQ469" i="18"/>
  <c r="AQ475" i="18"/>
  <c r="AQ482" i="18"/>
  <c r="AQ460" i="18"/>
  <c r="AQ465" i="18"/>
  <c r="AQ480" i="18"/>
  <c r="AQ477" i="18"/>
  <c r="AQ483" i="18"/>
  <c r="AQ471" i="18"/>
  <c r="AQ472" i="18"/>
  <c r="AQ468" i="18"/>
  <c r="AQ479" i="18"/>
  <c r="AQ476" i="18"/>
  <c r="AQ478" i="18"/>
  <c r="AQ481" i="18"/>
  <c r="AQ459" i="18"/>
  <c r="AQ462" i="18"/>
  <c r="S198" i="18"/>
  <c r="G138" i="16"/>
  <c r="P158" i="16" s="1"/>
  <c r="E109" i="16"/>
  <c r="P164" i="16"/>
  <c r="P161" i="16"/>
  <c r="L645" i="16"/>
  <c r="H3" i="12"/>
  <c r="AL573" i="18" l="1"/>
  <c r="AM573" i="18" s="1"/>
  <c r="AY531" i="18"/>
  <c r="AL531" i="18"/>
  <c r="M531" i="18"/>
  <c r="O531" i="18" s="1"/>
  <c r="AK542" i="18"/>
  <c r="AJ482" i="18"/>
  <c r="AN482" i="18" s="1"/>
  <c r="AK482" i="18"/>
  <c r="AL482" i="18" s="1"/>
  <c r="M286" i="18"/>
  <c r="J288" i="18" s="1"/>
  <c r="S287" i="18"/>
  <c r="N288" i="18" s="1"/>
  <c r="I251" i="18"/>
  <c r="M252" i="18" s="1"/>
  <c r="M198" i="18"/>
  <c r="Q250" i="18" s="1"/>
  <c r="I252" i="18" s="1"/>
  <c r="AY527" i="18"/>
  <c r="AK466" i="18"/>
  <c r="AJ466" i="18"/>
  <c r="AN466" i="18" s="1"/>
  <c r="AK549" i="18"/>
  <c r="AK553" i="18"/>
  <c r="G459" i="18"/>
  <c r="AK459" i="18"/>
  <c r="AJ459" i="18"/>
  <c r="AN459" i="18" s="1"/>
  <c r="AK481" i="18"/>
  <c r="AL481" i="18" s="1"/>
  <c r="AJ481" i="18"/>
  <c r="AN481" i="18" s="1"/>
  <c r="AK536" i="18"/>
  <c r="G463" i="18"/>
  <c r="AJ463" i="18"/>
  <c r="AN463" i="18" s="1"/>
  <c r="AK463" i="18"/>
  <c r="AK469" i="18"/>
  <c r="AL469" i="18" s="1"/>
  <c r="AJ469" i="18"/>
  <c r="AN469" i="18" s="1"/>
  <c r="AK534" i="18"/>
  <c r="F198" i="18"/>
  <c r="M249" i="18" s="1"/>
  <c r="G461" i="18"/>
  <c r="AK461" i="18"/>
  <c r="AJ461" i="18"/>
  <c r="AN461" i="18" s="1"/>
  <c r="G532" i="18"/>
  <c r="AK532" i="18"/>
  <c r="AK470" i="18"/>
  <c r="AL470" i="18" s="1"/>
  <c r="AJ470" i="18"/>
  <c r="AN470" i="18" s="1"/>
  <c r="AK537" i="18"/>
  <c r="F285" i="18"/>
  <c r="F288" i="18" s="1"/>
  <c r="I249" i="18"/>
  <c r="AJ467" i="18"/>
  <c r="AN467" i="18" s="1"/>
  <c r="AK467" i="18"/>
  <c r="AK474" i="18"/>
  <c r="AL474" i="18" s="1"/>
  <c r="AJ474" i="18"/>
  <c r="AN474" i="18" s="1"/>
  <c r="AK544" i="18"/>
  <c r="AK548" i="18"/>
  <c r="AK551" i="18"/>
  <c r="AJ465" i="18"/>
  <c r="AN465" i="18" s="1"/>
  <c r="AK465" i="18"/>
  <c r="G460" i="18"/>
  <c r="AK460" i="18"/>
  <c r="AJ460" i="18"/>
  <c r="AN460" i="18" s="1"/>
  <c r="G533" i="18"/>
  <c r="AK533" i="18"/>
  <c r="AK475" i="18"/>
  <c r="AL475" i="18" s="1"/>
  <c r="AJ475" i="18"/>
  <c r="AN475" i="18" s="1"/>
  <c r="AK539" i="18"/>
  <c r="AK473" i="18"/>
  <c r="AL473" i="18" s="1"/>
  <c r="AJ473" i="18"/>
  <c r="AN473" i="18" s="1"/>
  <c r="AK540" i="18"/>
  <c r="AK478" i="18"/>
  <c r="AL478" i="18" s="1"/>
  <c r="AJ478" i="18"/>
  <c r="AN478" i="18" s="1"/>
  <c r="AK552" i="18"/>
  <c r="AK476" i="18"/>
  <c r="AL476" i="18" s="1"/>
  <c r="AJ476" i="18"/>
  <c r="AN476" i="18" s="1"/>
  <c r="AK535" i="18"/>
  <c r="AY528" i="18"/>
  <c r="AL528" i="18"/>
  <c r="M528" i="18"/>
  <c r="O528" i="18" s="1"/>
  <c r="AK550" i="18"/>
  <c r="AK471" i="18"/>
  <c r="AL471" i="18" s="1"/>
  <c r="AJ471" i="18"/>
  <c r="AN471" i="18" s="1"/>
  <c r="AK546" i="18"/>
  <c r="I330" i="18"/>
  <c r="M330" i="18" s="1"/>
  <c r="I295" i="18"/>
  <c r="G529" i="18"/>
  <c r="AJ529" i="18"/>
  <c r="AK529" i="18"/>
  <c r="AK541" i="18"/>
  <c r="S195" i="18"/>
  <c r="G462" i="18"/>
  <c r="AK462" i="18"/>
  <c r="AJ462" i="18"/>
  <c r="AN462" i="18" s="1"/>
  <c r="AK545" i="18"/>
  <c r="AK547" i="18"/>
  <c r="AJ528" i="18"/>
  <c r="AK479" i="18"/>
  <c r="AL479" i="18" s="1"/>
  <c r="AJ479" i="18"/>
  <c r="AN479" i="18" s="1"/>
  <c r="AK464" i="18"/>
  <c r="AJ464" i="18"/>
  <c r="AN464" i="18" s="1"/>
  <c r="G464" i="18"/>
  <c r="AJ468" i="18"/>
  <c r="AN468" i="18" s="1"/>
  <c r="AK468" i="18"/>
  <c r="AL468" i="18" s="1"/>
  <c r="G530" i="18"/>
  <c r="AK530" i="18"/>
  <c r="AJ472" i="18"/>
  <c r="AN472" i="18" s="1"/>
  <c r="AK472" i="18"/>
  <c r="AL472" i="18" s="1"/>
  <c r="AK543" i="18"/>
  <c r="AK483" i="18"/>
  <c r="AL483" i="18" s="1"/>
  <c r="AJ483" i="18"/>
  <c r="AN483" i="18" s="1"/>
  <c r="AK477" i="18"/>
  <c r="AL477" i="18" s="1"/>
  <c r="AJ477" i="18"/>
  <c r="AN477" i="18" s="1"/>
  <c r="AK480" i="18"/>
  <c r="AL480" i="18" s="1"/>
  <c r="AJ480" i="18"/>
  <c r="AN480" i="18" s="1"/>
  <c r="AK538" i="18"/>
  <c r="J237" i="16"/>
  <c r="AF554" i="16"/>
  <c r="AD555" i="16" s="1"/>
  <c r="AF555" i="16"/>
  <c r="AD556" i="16" s="1"/>
  <c r="AF556" i="16"/>
  <c r="AY554" i="16"/>
  <c r="AY555" i="16"/>
  <c r="AY556" i="16"/>
  <c r="AX556" i="16"/>
  <c r="AJ554" i="16"/>
  <c r="AX554" i="16" s="1"/>
  <c r="AJ555" i="16"/>
  <c r="AX555" i="16" s="1"/>
  <c r="AU528" i="16"/>
  <c r="AU529" i="16"/>
  <c r="AU530" i="16"/>
  <c r="AU531" i="16"/>
  <c r="AU532" i="16"/>
  <c r="AU533" i="16"/>
  <c r="AU534" i="16"/>
  <c r="AU535" i="16"/>
  <c r="AU536" i="16"/>
  <c r="AU537" i="16"/>
  <c r="AU538" i="16"/>
  <c r="AU539" i="16"/>
  <c r="AU540" i="16"/>
  <c r="AU541" i="16"/>
  <c r="AU542" i="16"/>
  <c r="AU543" i="16"/>
  <c r="AU544" i="16"/>
  <c r="AU545" i="16"/>
  <c r="AU546" i="16"/>
  <c r="AU547" i="16"/>
  <c r="AU548" i="16"/>
  <c r="AU549" i="16"/>
  <c r="AU550" i="16"/>
  <c r="AU551" i="16"/>
  <c r="AU552" i="16"/>
  <c r="AU527" i="16"/>
  <c r="R288" i="18" l="1"/>
  <c r="F289" i="18" s="1"/>
  <c r="N289" i="18" s="1"/>
  <c r="H394" i="18" s="1"/>
  <c r="AJ535" i="18"/>
  <c r="AJ530" i="18"/>
  <c r="AX530" i="18" s="1"/>
  <c r="AJ536" i="18"/>
  <c r="AX536" i="18" s="1"/>
  <c r="AJ542" i="18"/>
  <c r="AN542" i="18" s="1"/>
  <c r="AJ532" i="18"/>
  <c r="AX532" i="18" s="1"/>
  <c r="AJ545" i="18"/>
  <c r="AX545" i="18" s="1"/>
  <c r="AJ543" i="18"/>
  <c r="AN543" i="18" s="1"/>
  <c r="AJ551" i="18"/>
  <c r="AX551" i="18" s="1"/>
  <c r="AJ534" i="18"/>
  <c r="AJ552" i="18"/>
  <c r="AX552" i="18" s="1"/>
  <c r="AJ541" i="18"/>
  <c r="AX541" i="18" s="1"/>
  <c r="AJ538" i="18"/>
  <c r="AX538" i="18" s="1"/>
  <c r="AJ550" i="18"/>
  <c r="AJ547" i="18"/>
  <c r="AN547" i="18" s="1"/>
  <c r="AJ549" i="18"/>
  <c r="AX549" i="18" s="1"/>
  <c r="AJ537" i="18"/>
  <c r="AN537" i="18" s="1"/>
  <c r="AJ533" i="18"/>
  <c r="AN533" i="18" s="1"/>
  <c r="AJ540" i="18"/>
  <c r="AN540" i="18" s="1"/>
  <c r="AJ531" i="18"/>
  <c r="AX531" i="18" s="1"/>
  <c r="AJ548" i="18"/>
  <c r="AX548" i="18" s="1"/>
  <c r="AJ546" i="18"/>
  <c r="AN546" i="18" s="1"/>
  <c r="AJ553" i="18"/>
  <c r="AX553" i="18" s="1"/>
  <c r="AJ539" i="18"/>
  <c r="AX539" i="18" s="1"/>
  <c r="AJ544" i="18"/>
  <c r="AN544" i="18" s="1"/>
  <c r="AN485" i="18"/>
  <c r="AL549" i="18"/>
  <c r="AY549" i="18"/>
  <c r="AL550" i="18"/>
  <c r="AY550" i="18"/>
  <c r="I223" i="18"/>
  <c r="M224" i="18" s="1"/>
  <c r="M195" i="18"/>
  <c r="Q222" i="18" s="1"/>
  <c r="I224" i="18" s="1"/>
  <c r="AL462" i="18"/>
  <c r="M462" i="18"/>
  <c r="O462" i="18" s="1"/>
  <c r="AN550" i="18"/>
  <c r="AX550" i="18"/>
  <c r="AL534" i="18"/>
  <c r="AY534" i="18"/>
  <c r="AY533" i="18"/>
  <c r="AL533" i="18"/>
  <c r="M533" i="18"/>
  <c r="O533" i="18" s="1"/>
  <c r="AL466" i="18"/>
  <c r="AN535" i="18"/>
  <c r="AX535" i="18"/>
  <c r="F195" i="18"/>
  <c r="M221" i="18" s="1"/>
  <c r="E224" i="18" s="1"/>
  <c r="AL535" i="18"/>
  <c r="AY535" i="18"/>
  <c r="AY530" i="18"/>
  <c r="AL530" i="18"/>
  <c r="M530" i="18"/>
  <c r="O530" i="18" s="1"/>
  <c r="AY529" i="18"/>
  <c r="AL529" i="18"/>
  <c r="M529" i="18"/>
  <c r="O529" i="18" s="1"/>
  <c r="AY545" i="18"/>
  <c r="AL545" i="18"/>
  <c r="AY543" i="18"/>
  <c r="AL543" i="18"/>
  <c r="AX534" i="18"/>
  <c r="AN534" i="18"/>
  <c r="AN530" i="18"/>
  <c r="AL463" i="18"/>
  <c r="M463" i="18"/>
  <c r="O463" i="18" s="1"/>
  <c r="AY538" i="18"/>
  <c r="AL538" i="18"/>
  <c r="E296" i="18"/>
  <c r="K394" i="18"/>
  <c r="AL459" i="18"/>
  <c r="M459" i="18"/>
  <c r="O459" i="18" s="1"/>
  <c r="AY541" i="18"/>
  <c r="AL541" i="18"/>
  <c r="E252" i="18"/>
  <c r="Q252" i="18" s="1"/>
  <c r="E253" i="18" s="1"/>
  <c r="M253" i="18" s="1"/>
  <c r="E394" i="18" s="1"/>
  <c r="AL536" i="18"/>
  <c r="AY536" i="18"/>
  <c r="AL464" i="18"/>
  <c r="M464" i="18"/>
  <c r="O464" i="18" s="1"/>
  <c r="AY542" i="18"/>
  <c r="AL542" i="18"/>
  <c r="AY532" i="18"/>
  <c r="AL532" i="18"/>
  <c r="M532" i="18"/>
  <c r="O532" i="18" s="1"/>
  <c r="AY548" i="18"/>
  <c r="AL548" i="18"/>
  <c r="AL544" i="18"/>
  <c r="AY544" i="18"/>
  <c r="AL467" i="18"/>
  <c r="AL460" i="18"/>
  <c r="M460" i="18"/>
  <c r="O460" i="18" s="1"/>
  <c r="AL465" i="18"/>
  <c r="AL537" i="18"/>
  <c r="AY537" i="18"/>
  <c r="AN552" i="18"/>
  <c r="AN536" i="18"/>
  <c r="AX529" i="18"/>
  <c r="AN529" i="18"/>
  <c r="AY551" i="18"/>
  <c r="AL551" i="18"/>
  <c r="AL540" i="18"/>
  <c r="AY540" i="18"/>
  <c r="AN539" i="18"/>
  <c r="AL461" i="18"/>
  <c r="M461" i="18"/>
  <c r="O461" i="18" s="1"/>
  <c r="AY552" i="18"/>
  <c r="AL552" i="18"/>
  <c r="AN528" i="18"/>
  <c r="AX528" i="18"/>
  <c r="AX546" i="18"/>
  <c r="AY546" i="18"/>
  <c r="AL546" i="18"/>
  <c r="AL547" i="18"/>
  <c r="AY547" i="18"/>
  <c r="AY539" i="18"/>
  <c r="AL539" i="18"/>
  <c r="AX527" i="18"/>
  <c r="AY553" i="18"/>
  <c r="AL553" i="18"/>
  <c r="K325" i="16"/>
  <c r="I328" i="16" s="1"/>
  <c r="K322" i="16"/>
  <c r="K326" i="16"/>
  <c r="AU459" i="16"/>
  <c r="AU460" i="16"/>
  <c r="AU461" i="16"/>
  <c r="AU462" i="16"/>
  <c r="AU463" i="16"/>
  <c r="AU464" i="16"/>
  <c r="AU465" i="16"/>
  <c r="AU466" i="16"/>
  <c r="AU467" i="16"/>
  <c r="AU468" i="16"/>
  <c r="AU469" i="16"/>
  <c r="AU470" i="16"/>
  <c r="AU471" i="16"/>
  <c r="AU472" i="16"/>
  <c r="AU473" i="16"/>
  <c r="AU474" i="16"/>
  <c r="AU475" i="16"/>
  <c r="AU476" i="16"/>
  <c r="AU477" i="16"/>
  <c r="AU478" i="16"/>
  <c r="AU479" i="16"/>
  <c r="AU480" i="16"/>
  <c r="AU481" i="16"/>
  <c r="AU482" i="16"/>
  <c r="AU483" i="16"/>
  <c r="AU484" i="16"/>
  <c r="AU458" i="16"/>
  <c r="AF459" i="16"/>
  <c r="AF460" i="16"/>
  <c r="AF461" i="16"/>
  <c r="AF462" i="16"/>
  <c r="AF463" i="16"/>
  <c r="AF464" i="16"/>
  <c r="AF465" i="16"/>
  <c r="AF466" i="16"/>
  <c r="AF467" i="16"/>
  <c r="AF468" i="16"/>
  <c r="AF469" i="16"/>
  <c r="AF470" i="16"/>
  <c r="AF471" i="16"/>
  <c r="AF472" i="16"/>
  <c r="AF473" i="16"/>
  <c r="AF474" i="16"/>
  <c r="AF475" i="16"/>
  <c r="AF476" i="16"/>
  <c r="AF477" i="16"/>
  <c r="AF478" i="16"/>
  <c r="AF479" i="16"/>
  <c r="AF480" i="16"/>
  <c r="AF481" i="16"/>
  <c r="AF482" i="16"/>
  <c r="AF483" i="16"/>
  <c r="AF484" i="16"/>
  <c r="AF553" i="16" s="1"/>
  <c r="AD554" i="16" s="1"/>
  <c r="AF458" i="16"/>
  <c r="AI459" i="16"/>
  <c r="AI460" i="16"/>
  <c r="AI462" i="16"/>
  <c r="AI463" i="16"/>
  <c r="AI464" i="16"/>
  <c r="AI467" i="16"/>
  <c r="AI468" i="16"/>
  <c r="AI470" i="16"/>
  <c r="AI471" i="16"/>
  <c r="AI472" i="16"/>
  <c r="AI473" i="16"/>
  <c r="AI474" i="16"/>
  <c r="AI475" i="16"/>
  <c r="AI476" i="16"/>
  <c r="AI477" i="16"/>
  <c r="AI478" i="16"/>
  <c r="AI479" i="16"/>
  <c r="AI480" i="16"/>
  <c r="AI481" i="16"/>
  <c r="AI482" i="16"/>
  <c r="AI483" i="16"/>
  <c r="AI484" i="16"/>
  <c r="AL37" i="16"/>
  <c r="AD37" i="16"/>
  <c r="AI36" i="16"/>
  <c r="AL36" i="16" s="1"/>
  <c r="AD36" i="16"/>
  <c r="AI35" i="16"/>
  <c r="AL35" i="16" s="1"/>
  <c r="AD35" i="16"/>
  <c r="AI34" i="16"/>
  <c r="AL34" i="16" s="1"/>
  <c r="AD34" i="16"/>
  <c r="AI33" i="16"/>
  <c r="AL33" i="16" s="1"/>
  <c r="AD33" i="16"/>
  <c r="AI32" i="16"/>
  <c r="AL32" i="16" s="1"/>
  <c r="AD32" i="16"/>
  <c r="AI31" i="16"/>
  <c r="AL31" i="16" s="1"/>
  <c r="AD31" i="16"/>
  <c r="AI30" i="16"/>
  <c r="AL30" i="16" s="1"/>
  <c r="AD30" i="16"/>
  <c r="AI29" i="16"/>
  <c r="AL29" i="16" s="1"/>
  <c r="AD29" i="16"/>
  <c r="AI28" i="16"/>
  <c r="AL28" i="16" s="1"/>
  <c r="AD28" i="16"/>
  <c r="AI27" i="16"/>
  <c r="AL27" i="16" s="1"/>
  <c r="AD27" i="16"/>
  <c r="AI26" i="16"/>
  <c r="AL26" i="16" s="1"/>
  <c r="AD26" i="16"/>
  <c r="AI25" i="16"/>
  <c r="AL25" i="16" s="1"/>
  <c r="AD25" i="16"/>
  <c r="AI24" i="16"/>
  <c r="AL24" i="16" s="1"/>
  <c r="AD24" i="16"/>
  <c r="AI23" i="16"/>
  <c r="AL23" i="16" s="1"/>
  <c r="AD23" i="16"/>
  <c r="AI22" i="16"/>
  <c r="AL22" i="16" s="1"/>
  <c r="AD22" i="16"/>
  <c r="AI21" i="16"/>
  <c r="AL21" i="16" s="1"/>
  <c r="AD21" i="16"/>
  <c r="AI20" i="16"/>
  <c r="AL20" i="16" s="1"/>
  <c r="AD20" i="16"/>
  <c r="AI19" i="16"/>
  <c r="AL19" i="16" s="1"/>
  <c r="AD19" i="16"/>
  <c r="AI465" i="16"/>
  <c r="AI18" i="16"/>
  <c r="AL18" i="16" s="1"/>
  <c r="AD18" i="16"/>
  <c r="AI17" i="16"/>
  <c r="AL17" i="16" s="1"/>
  <c r="AD17" i="16"/>
  <c r="AI16" i="16"/>
  <c r="AL16" i="16" s="1"/>
  <c r="AD16" i="16"/>
  <c r="AI15" i="16"/>
  <c r="AL15" i="16" s="1"/>
  <c r="AD15" i="16"/>
  <c r="AI14" i="16"/>
  <c r="AL14" i="16" s="1"/>
  <c r="AD14" i="16"/>
  <c r="AI13" i="16"/>
  <c r="AL13" i="16" s="1"/>
  <c r="AD13" i="16"/>
  <c r="AI12" i="16"/>
  <c r="AL12" i="16" s="1"/>
  <c r="AD12" i="16"/>
  <c r="AL11" i="16"/>
  <c r="AR11" i="16" s="1"/>
  <c r="AD11" i="16"/>
  <c r="T598" i="16"/>
  <c r="AN532" i="18" l="1"/>
  <c r="AX542" i="18"/>
  <c r="AX543" i="18"/>
  <c r="AN538" i="18"/>
  <c r="AX533" i="18"/>
  <c r="AN545" i="18"/>
  <c r="AX547" i="18"/>
  <c r="AN551" i="18"/>
  <c r="AX540" i="18"/>
  <c r="AN549" i="18"/>
  <c r="AN531" i="18"/>
  <c r="AN541" i="18"/>
  <c r="AX537" i="18"/>
  <c r="AN548" i="18"/>
  <c r="AX544" i="18"/>
  <c r="AL485" i="18"/>
  <c r="AY557" i="18"/>
  <c r="P598" i="18" s="1"/>
  <c r="W598" i="18" s="1"/>
  <c r="O615" i="18" s="1"/>
  <c r="W615" i="18" s="1"/>
  <c r="K621" i="18" s="1"/>
  <c r="AL557" i="18"/>
  <c r="AI558" i="18" s="1"/>
  <c r="O483" i="18"/>
  <c r="N487" i="18" s="1"/>
  <c r="U487" i="18" s="1"/>
  <c r="H649" i="18" s="1"/>
  <c r="H650" i="18" s="1"/>
  <c r="O554" i="18"/>
  <c r="N556" i="18" s="1"/>
  <c r="V556" i="18" s="1"/>
  <c r="O590" i="18" s="1"/>
  <c r="W590" i="18" s="1"/>
  <c r="G621" i="18" s="1"/>
  <c r="Q394" i="18"/>
  <c r="Q224" i="18"/>
  <c r="E225" i="18" s="1"/>
  <c r="M225" i="18" s="1"/>
  <c r="S228" i="18" s="1"/>
  <c r="AI469" i="16"/>
  <c r="AI461" i="16"/>
  <c r="AI458" i="16"/>
  <c r="AI466" i="16"/>
  <c r="AR12" i="16"/>
  <c r="AR15" i="16"/>
  <c r="AR22" i="16"/>
  <c r="AR28" i="16"/>
  <c r="AR34" i="16"/>
  <c r="AR16" i="16"/>
  <c r="AR14" i="16"/>
  <c r="AR26" i="16"/>
  <c r="AR32" i="16"/>
  <c r="AR20" i="16"/>
  <c r="AR21" i="16"/>
  <c r="AR27" i="16"/>
  <c r="AR33" i="16"/>
  <c r="AR13" i="16"/>
  <c r="AR18" i="16"/>
  <c r="AR36" i="16"/>
  <c r="AR30" i="16"/>
  <c r="AR24" i="16"/>
  <c r="AR17" i="16"/>
  <c r="AR35" i="16"/>
  <c r="AR29" i="16"/>
  <c r="AR23" i="16"/>
  <c r="AR19" i="16"/>
  <c r="AR37" i="16"/>
  <c r="AR31" i="16"/>
  <c r="AR25" i="16"/>
  <c r="Q380" i="16"/>
  <c r="Q371" i="16"/>
  <c r="Q362" i="16"/>
  <c r="P352" i="16"/>
  <c r="J352" i="16"/>
  <c r="T352" i="16" s="1"/>
  <c r="AI350" i="16"/>
  <c r="AI347" i="16"/>
  <c r="V375" i="16"/>
  <c r="S380" i="16" s="1"/>
  <c r="O375" i="16"/>
  <c r="V366" i="16"/>
  <c r="S371" i="16" s="1"/>
  <c r="O366" i="16"/>
  <c r="S357" i="16"/>
  <c r="V357" i="16" s="1"/>
  <c r="O357" i="16"/>
  <c r="Q286" i="16"/>
  <c r="O621" i="18" l="1"/>
  <c r="S625" i="18" s="1"/>
  <c r="AX557" i="18"/>
  <c r="AN557" i="18"/>
  <c r="S496" i="18"/>
  <c r="W621" i="18"/>
  <c r="R644" i="18"/>
  <c r="R645" i="18" s="1"/>
  <c r="S397" i="18"/>
  <c r="W394" i="18"/>
  <c r="AI1" i="18"/>
  <c r="E644" i="18"/>
  <c r="E645" i="18" s="1"/>
  <c r="S230" i="18"/>
  <c r="P649" i="18"/>
  <c r="P650" i="18" s="1"/>
  <c r="S627" i="18"/>
  <c r="AL1" i="18"/>
  <c r="AJ1" i="18"/>
  <c r="S498" i="18"/>
  <c r="R354" i="16"/>
  <c r="P378" i="16" s="1"/>
  <c r="S362" i="16"/>
  <c r="P358" i="16"/>
  <c r="P376" i="16"/>
  <c r="V380" i="16" s="1"/>
  <c r="O382" i="16" s="1"/>
  <c r="P367" i="16"/>
  <c r="S399" i="18" l="1"/>
  <c r="AK1" i="18"/>
  <c r="P369" i="16"/>
  <c r="V371" i="16" s="1"/>
  <c r="O373" i="16" s="1"/>
  <c r="P360" i="16"/>
  <c r="V362" i="16" s="1"/>
  <c r="O364" i="16" s="1"/>
  <c r="S384" i="16" l="1"/>
  <c r="L386" i="16" s="1"/>
  <c r="R126" i="16"/>
  <c r="S386" i="16" l="1"/>
  <c r="N394" i="16" s="1"/>
  <c r="Q574" i="16"/>
  <c r="AO117" i="16" l="1"/>
  <c r="AE553" i="16"/>
  <c r="AE554" i="16"/>
  <c r="AE555" i="16"/>
  <c r="AE556" i="16"/>
  <c r="AD473" i="16"/>
  <c r="AD475" i="16"/>
  <c r="AD477" i="16"/>
  <c r="AD478" i="16"/>
  <c r="AD480" i="16"/>
  <c r="AD481" i="16"/>
  <c r="AD482" i="16"/>
  <c r="AD483" i="16"/>
  <c r="M56" i="16"/>
  <c r="R56" i="16" s="1"/>
  <c r="M55" i="16"/>
  <c r="R55" i="16" s="1"/>
  <c r="M54" i="16"/>
  <c r="R54" i="16" s="1"/>
  <c r="AG478" i="16" l="1"/>
  <c r="AG473" i="16"/>
  <c r="AG481" i="16"/>
  <c r="AG483" i="16"/>
  <c r="AG480" i="16"/>
  <c r="AD474" i="16"/>
  <c r="AG474" i="16" s="1"/>
  <c r="AG475" i="16"/>
  <c r="AG482" i="16"/>
  <c r="AD479" i="16"/>
  <c r="AG479" i="16" s="1"/>
  <c r="AD476" i="16"/>
  <c r="AG476" i="16" s="1"/>
  <c r="AG477" i="16"/>
  <c r="K57" i="16"/>
  <c r="M75" i="16" l="1"/>
  <c r="M74" i="16"/>
  <c r="M73" i="16"/>
  <c r="M72" i="16"/>
  <c r="M71" i="16"/>
  <c r="M66" i="16"/>
  <c r="M65" i="16"/>
  <c r="M64" i="16"/>
  <c r="M63" i="16"/>
  <c r="M62" i="16"/>
  <c r="M49" i="16"/>
  <c r="R49" i="16" s="1"/>
  <c r="M48" i="16"/>
  <c r="R48" i="16" s="1"/>
  <c r="M47" i="16"/>
  <c r="R47" i="16" s="1"/>
  <c r="K76" i="16" l="1"/>
  <c r="J61" i="16"/>
  <c r="K50" i="16"/>
  <c r="K67" i="16"/>
  <c r="J70" i="16"/>
  <c r="E92" i="16" l="1"/>
  <c r="R98" i="16"/>
  <c r="N100" i="16"/>
  <c r="Q100" i="16"/>
  <c r="C16" i="5"/>
  <c r="B16" i="5"/>
  <c r="N28" i="14"/>
  <c r="N29" i="14"/>
  <c r="N27" i="14"/>
  <c r="B5" i="16"/>
  <c r="J508" i="16"/>
  <c r="B17" i="5"/>
  <c r="N8" i="17" l="1"/>
  <c r="L98" i="16"/>
  <c r="H4" i="12"/>
  <c r="B12" i="12"/>
  <c r="A10" i="12"/>
  <c r="H6" i="12"/>
  <c r="A20" i="7"/>
  <c r="P159" i="16"/>
  <c r="T100" i="16"/>
  <c r="O98" i="16" s="1"/>
  <c r="Q97" i="16"/>
  <c r="T97" i="16"/>
  <c r="G110" i="16"/>
  <c r="AC16" i="16"/>
  <c r="AC17" i="16"/>
  <c r="AC18" i="16"/>
  <c r="AO200" i="16"/>
  <c r="AO199" i="16"/>
  <c r="AQ198" i="16"/>
  <c r="AO198" i="16"/>
  <c r="AD459" i="16"/>
  <c r="B459" i="16" s="1"/>
  <c r="D459" i="16"/>
  <c r="D460" i="16"/>
  <c r="D461" i="16"/>
  <c r="E126" i="16"/>
  <c r="G126" i="16" s="1"/>
  <c r="E127" i="16" s="1"/>
  <c r="U98" i="16" l="1"/>
  <c r="AD464" i="16"/>
  <c r="B464" i="16" s="1"/>
  <c r="D463" i="16"/>
  <c r="AD463" i="16"/>
  <c r="B463" i="16" s="1"/>
  <c r="D462" i="16"/>
  <c r="G127" i="16"/>
  <c r="I127" i="16" s="1"/>
  <c r="G109" i="16"/>
  <c r="I109" i="16" s="1"/>
  <c r="E110" i="16"/>
  <c r="I110" i="16" l="1"/>
  <c r="E128" i="16"/>
  <c r="I128" i="16" s="1"/>
  <c r="J7" i="16"/>
  <c r="G7" i="16"/>
  <c r="AP554" i="16"/>
  <c r="AP555" i="16"/>
  <c r="AP556" i="16"/>
  <c r="AI552" i="16"/>
  <c r="AI553" i="16"/>
  <c r="AF541" i="16"/>
  <c r="AF542" i="16"/>
  <c r="AF543" i="16"/>
  <c r="AD544" i="16" s="1"/>
  <c r="AF544" i="16"/>
  <c r="AD545" i="16" s="1"/>
  <c r="AF545" i="16"/>
  <c r="AD546" i="16" s="1"/>
  <c r="AF546" i="16"/>
  <c r="AD547" i="16" s="1"/>
  <c r="AF547" i="16"/>
  <c r="AD548" i="16" s="1"/>
  <c r="AF548" i="16"/>
  <c r="AD549" i="16" s="1"/>
  <c r="AF549" i="16"/>
  <c r="AD550" i="16" s="1"/>
  <c r="AF550" i="16"/>
  <c r="AD551" i="16" s="1"/>
  <c r="AF551" i="16"/>
  <c r="AD552" i="16" s="1"/>
  <c r="AF552" i="16"/>
  <c r="AD553" i="16" s="1"/>
  <c r="AP483" i="16"/>
  <c r="AP484" i="16"/>
  <c r="AP473" i="16"/>
  <c r="AP474" i="16"/>
  <c r="AP475" i="16"/>
  <c r="AP476" i="16"/>
  <c r="AP477" i="16"/>
  <c r="AP478" i="16"/>
  <c r="AP479" i="16"/>
  <c r="AP480" i="16"/>
  <c r="AP481" i="16"/>
  <c r="AP482" i="16"/>
  <c r="AF528" i="16"/>
  <c r="D528" i="16" s="1"/>
  <c r="AF529" i="16"/>
  <c r="AF530" i="16"/>
  <c r="D530" i="16" s="1"/>
  <c r="AF531" i="16"/>
  <c r="AD532" i="16" s="1"/>
  <c r="B532" i="16" s="1"/>
  <c r="AF532" i="16"/>
  <c r="D464" i="16"/>
  <c r="D527" i="16"/>
  <c r="AD542" i="16" l="1"/>
  <c r="AD543" i="16"/>
  <c r="D532" i="16"/>
  <c r="AD533" i="16"/>
  <c r="B533" i="16" s="1"/>
  <c r="AF534" i="16"/>
  <c r="D465" i="16"/>
  <c r="AF540" i="16"/>
  <c r="AD472" i="16"/>
  <c r="AG472" i="16" s="1"/>
  <c r="AF539" i="16"/>
  <c r="AF537" i="16"/>
  <c r="AF536" i="16"/>
  <c r="AF538" i="16"/>
  <c r="AF535" i="16"/>
  <c r="D466" i="16"/>
  <c r="AF533" i="16"/>
  <c r="AD465" i="16"/>
  <c r="B465" i="16" s="1"/>
  <c r="D531" i="16"/>
  <c r="D529" i="16"/>
  <c r="AD530" i="16"/>
  <c r="B530" i="16" s="1"/>
  <c r="AD540" i="16" l="1"/>
  <c r="AD541" i="16"/>
  <c r="D536" i="16"/>
  <c r="AD537" i="16"/>
  <c r="AD539" i="16"/>
  <c r="D533" i="16"/>
  <c r="AD534" i="16"/>
  <c r="B534" i="16" s="1"/>
  <c r="D534" i="16"/>
  <c r="AD535" i="16"/>
  <c r="B535" i="16" s="1"/>
  <c r="D535" i="16"/>
  <c r="AD536" i="16"/>
  <c r="B536" i="16" s="1"/>
  <c r="AD538" i="16"/>
  <c r="AD529" i="16"/>
  <c r="B529" i="16" s="1"/>
  <c r="AD462" i="16"/>
  <c r="B462" i="16" s="1"/>
  <c r="S28" i="14"/>
  <c r="S29" i="14"/>
  <c r="S27" i="14"/>
  <c r="I28" i="14"/>
  <c r="B28" i="14"/>
  <c r="B29" i="14"/>
  <c r="B27" i="14"/>
  <c r="E536" i="16" l="1"/>
  <c r="X29" i="14"/>
  <c r="X28" i="14" l="1"/>
  <c r="E111" i="16"/>
  <c r="X640" i="16"/>
  <c r="T640" i="16"/>
  <c r="B640" i="16"/>
  <c r="X636" i="16"/>
  <c r="S636" i="16"/>
  <c r="B644" i="16" s="1"/>
  <c r="O636" i="16"/>
  <c r="K636" i="16"/>
  <c r="H640" i="16" s="1"/>
  <c r="G636" i="16"/>
  <c r="D640" i="16" s="1"/>
  <c r="B636" i="16"/>
  <c r="B630" i="16"/>
  <c r="AJ566" i="16"/>
  <c r="AJ565" i="16"/>
  <c r="AI562" i="16"/>
  <c r="U585" i="16"/>
  <c r="W521" i="16" s="1"/>
  <c r="H556" i="16" s="1"/>
  <c r="AU553" i="16"/>
  <c r="AE552" i="16"/>
  <c r="AE551" i="16"/>
  <c r="AE550" i="16"/>
  <c r="AE549" i="16"/>
  <c r="AE548" i="16"/>
  <c r="AE547" i="16"/>
  <c r="AE546" i="16"/>
  <c r="AE545" i="16"/>
  <c r="AE544" i="16"/>
  <c r="AE543" i="16"/>
  <c r="P554" i="16"/>
  <c r="AE542" i="16"/>
  <c r="AE541" i="16"/>
  <c r="AE540" i="16"/>
  <c r="AE539" i="16"/>
  <c r="AE538" i="16"/>
  <c r="AE537" i="16"/>
  <c r="AE536" i="16"/>
  <c r="AE535" i="16"/>
  <c r="AE534" i="16"/>
  <c r="AE533" i="16"/>
  <c r="AG533" i="16"/>
  <c r="AE532" i="16"/>
  <c r="AG532" i="16"/>
  <c r="AE531" i="16"/>
  <c r="AE530" i="16"/>
  <c r="AG529" i="16"/>
  <c r="AE529" i="16"/>
  <c r="AE528" i="16"/>
  <c r="AE527" i="16"/>
  <c r="L521" i="16"/>
  <c r="H577" i="16" s="1"/>
  <c r="H521" i="16"/>
  <c r="E521" i="16"/>
  <c r="R577" i="16" s="1"/>
  <c r="B521" i="16"/>
  <c r="R508" i="16"/>
  <c r="R510" i="16" s="1"/>
  <c r="K510" i="16"/>
  <c r="G508" i="16"/>
  <c r="N574" i="16" s="1"/>
  <c r="T574" i="16" s="1"/>
  <c r="U493" i="16"/>
  <c r="W452" i="16" s="1"/>
  <c r="AJ495" i="16"/>
  <c r="AJ494" i="16"/>
  <c r="AM493" i="16" s="1"/>
  <c r="P483" i="16"/>
  <c r="AI491" i="16"/>
  <c r="AG553" i="16"/>
  <c r="AG552" i="16"/>
  <c r="AG549" i="16"/>
  <c r="AG548" i="16"/>
  <c r="AG547" i="16"/>
  <c r="AD471" i="16"/>
  <c r="AD470" i="16"/>
  <c r="AG470" i="16" s="1"/>
  <c r="AD469" i="16"/>
  <c r="AD468" i="16"/>
  <c r="AD467" i="16"/>
  <c r="D458" i="16"/>
  <c r="AD466" i="16"/>
  <c r="AG464" i="16"/>
  <c r="AG463" i="16"/>
  <c r="AG462" i="16"/>
  <c r="AD461" i="16"/>
  <c r="B461" i="16" s="1"/>
  <c r="M452" i="16"/>
  <c r="I452" i="16"/>
  <c r="AJ501" i="16" s="1"/>
  <c r="AJ503" i="16" s="1"/>
  <c r="E452" i="16"/>
  <c r="B452" i="16"/>
  <c r="AD460" i="16"/>
  <c r="AG459" i="16"/>
  <c r="F237" i="16"/>
  <c r="B237" i="16"/>
  <c r="S229" i="16"/>
  <c r="M209" i="16"/>
  <c r="J209" i="16"/>
  <c r="F209" i="16"/>
  <c r="B209" i="16"/>
  <c r="M222" i="16" s="1"/>
  <c r="W204" i="16"/>
  <c r="W203" i="16"/>
  <c r="E249" i="16" s="1"/>
  <c r="AI196" i="16"/>
  <c r="AI195" i="16"/>
  <c r="AI194" i="16"/>
  <c r="AD126" i="16"/>
  <c r="N126" i="16"/>
  <c r="N92" i="16"/>
  <c r="K92" i="16"/>
  <c r="B92" i="16"/>
  <c r="B129" i="16"/>
  <c r="N322" i="16"/>
  <c r="K324" i="16" s="1"/>
  <c r="J465" i="16"/>
  <c r="B1" i="16"/>
  <c r="BA556" i="16" l="1"/>
  <c r="BA558" i="16" s="1"/>
  <c r="P162" i="16"/>
  <c r="P165" i="16"/>
  <c r="E330" i="16"/>
  <c r="E295" i="16"/>
  <c r="E328" i="16"/>
  <c r="U328" i="16" s="1"/>
  <c r="B128" i="16"/>
  <c r="C57" i="16"/>
  <c r="C76" i="16" s="1"/>
  <c r="AJ502" i="16"/>
  <c r="M598" i="16"/>
  <c r="BB558" i="16"/>
  <c r="AG469" i="16"/>
  <c r="AP469" i="16" s="1"/>
  <c r="AG460" i="16"/>
  <c r="B460" i="16"/>
  <c r="AG466" i="16"/>
  <c r="AP466" i="16" s="1"/>
  <c r="B466" i="16"/>
  <c r="AK497" i="16"/>
  <c r="AM497" i="16" s="1"/>
  <c r="AR497" i="16"/>
  <c r="AQ502" i="16"/>
  <c r="AQ503" i="16" s="1"/>
  <c r="AQ498" i="16"/>
  <c r="AQ573" i="16"/>
  <c r="AQ574" i="16" s="1"/>
  <c r="AR568" i="16"/>
  <c r="AQ569" i="16"/>
  <c r="AI569" i="16"/>
  <c r="AK568" i="16"/>
  <c r="AM568" i="16" s="1"/>
  <c r="L640" i="16"/>
  <c r="AD458" i="16"/>
  <c r="B458" i="16" s="1"/>
  <c r="AJ572" i="16"/>
  <c r="AP553" i="16"/>
  <c r="N577" i="16"/>
  <c r="I598" i="16"/>
  <c r="AP548" i="16"/>
  <c r="AP529" i="16"/>
  <c r="AP532" i="16"/>
  <c r="AP459" i="16"/>
  <c r="AP549" i="16"/>
  <c r="AP460" i="16"/>
  <c r="AP464" i="16"/>
  <c r="AP533" i="16"/>
  <c r="AP463" i="16"/>
  <c r="AP470" i="16"/>
  <c r="AP547" i="16"/>
  <c r="AP462" i="16"/>
  <c r="M250" i="16"/>
  <c r="L287" i="16"/>
  <c r="E222" i="16"/>
  <c r="E250" i="16"/>
  <c r="E221" i="16"/>
  <c r="AD112" i="16"/>
  <c r="AG112" i="16" s="1"/>
  <c r="AD130" i="16"/>
  <c r="AP552" i="16"/>
  <c r="E129" i="16"/>
  <c r="I129" i="16" s="1"/>
  <c r="I132" i="16" s="1"/>
  <c r="S578" i="16"/>
  <c r="J578" i="16"/>
  <c r="I29" i="14"/>
  <c r="M97" i="16"/>
  <c r="X97" i="16" s="1"/>
  <c r="B110" i="16"/>
  <c r="B111" i="16"/>
  <c r="I27" i="14"/>
  <c r="J117" i="16"/>
  <c r="AN198" i="16"/>
  <c r="AN200" i="16"/>
  <c r="AS200" i="16" s="1"/>
  <c r="AT200" i="16" s="1"/>
  <c r="AN199" i="16"/>
  <c r="AS199" i="16" s="1"/>
  <c r="AT199" i="16" s="1"/>
  <c r="AP198" i="16"/>
  <c r="W510" i="16"/>
  <c r="K513" i="16" s="1"/>
  <c r="N511" i="16"/>
  <c r="AL565" i="16"/>
  <c r="H487" i="16"/>
  <c r="B127" i="16"/>
  <c r="AD531" i="16"/>
  <c r="AJ568" i="16"/>
  <c r="AJ497" i="16"/>
  <c r="AG467" i="16"/>
  <c r="AG541" i="16"/>
  <c r="E532" i="16"/>
  <c r="AL493" i="16"/>
  <c r="S511" i="16"/>
  <c r="AL494" i="16"/>
  <c r="AG468" i="16"/>
  <c r="AG465" i="16"/>
  <c r="AP472" i="16"/>
  <c r="AG538" i="16"/>
  <c r="E462" i="16"/>
  <c r="AG536" i="16"/>
  <c r="AG535" i="16"/>
  <c r="AG551" i="16"/>
  <c r="AG543" i="16"/>
  <c r="E460" i="16"/>
  <c r="AM494" i="16"/>
  <c r="O512" i="16"/>
  <c r="AG530" i="16"/>
  <c r="AG461" i="16"/>
  <c r="E459" i="16"/>
  <c r="AG126" i="16"/>
  <c r="P126" i="16"/>
  <c r="AI498" i="16"/>
  <c r="AI499" i="16"/>
  <c r="AF120" i="16" s="1"/>
  <c r="AI570" i="16"/>
  <c r="AI545" i="16"/>
  <c r="AI528" i="16"/>
  <c r="J528" i="16" s="1"/>
  <c r="AH199" i="16"/>
  <c r="AI551" i="16"/>
  <c r="AI548" i="16"/>
  <c r="AI541" i="16"/>
  <c r="AG546" i="16"/>
  <c r="AG537" i="16"/>
  <c r="AG540" i="16"/>
  <c r="AG471" i="16"/>
  <c r="U508" i="16"/>
  <c r="K512" i="16" s="1"/>
  <c r="L492" i="16"/>
  <c r="U490" i="16"/>
  <c r="AI537" i="16"/>
  <c r="AI533" i="16"/>
  <c r="J533" i="16" s="1"/>
  <c r="J464" i="16"/>
  <c r="E466" i="16"/>
  <c r="E465" i="16"/>
  <c r="AI536" i="16"/>
  <c r="J536" i="16" s="1"/>
  <c r="AI544" i="16"/>
  <c r="J466" i="16"/>
  <c r="AI535" i="16"/>
  <c r="J535" i="16" s="1"/>
  <c r="AI549" i="16"/>
  <c r="J463" i="16"/>
  <c r="AI532" i="16"/>
  <c r="J532" i="16" s="1"/>
  <c r="AI542" i="16"/>
  <c r="AM565" i="16"/>
  <c r="AI543" i="16"/>
  <c r="AG534" i="16"/>
  <c r="AI527" i="16"/>
  <c r="J527" i="16" s="1"/>
  <c r="J458" i="16"/>
  <c r="AI530" i="16"/>
  <c r="J530" i="16" s="1"/>
  <c r="J461" i="16"/>
  <c r="AI534" i="16"/>
  <c r="J534" i="16" s="1"/>
  <c r="AG544" i="16"/>
  <c r="AG550" i="16"/>
  <c r="AG542" i="16"/>
  <c r="E461" i="16"/>
  <c r="E533" i="16"/>
  <c r="AG545" i="16"/>
  <c r="F578" i="16"/>
  <c r="AL564" i="16"/>
  <c r="AU122" i="16"/>
  <c r="P578" i="16"/>
  <c r="AM564" i="16"/>
  <c r="E463" i="16"/>
  <c r="AG539" i="16"/>
  <c r="E464" i="16"/>
  <c r="E13" i="5"/>
  <c r="AA19" i="14"/>
  <c r="AA20" i="14"/>
  <c r="X19" i="14"/>
  <c r="X20" i="14"/>
  <c r="AA18" i="14"/>
  <c r="X18" i="14"/>
  <c r="K19" i="14"/>
  <c r="K18" i="14"/>
  <c r="I19" i="14"/>
  <c r="I20" i="14"/>
  <c r="I18" i="14"/>
  <c r="F18" i="14"/>
  <c r="B19" i="14"/>
  <c r="B20" i="14"/>
  <c r="B18" i="14"/>
  <c r="BA557" i="16" l="1"/>
  <c r="B13" i="17"/>
  <c r="T394" i="16"/>
  <c r="S398" i="16"/>
  <c r="F167" i="16"/>
  <c r="O167" i="16"/>
  <c r="S209" i="16" s="1"/>
  <c r="G10" i="7"/>
  <c r="I295" i="16"/>
  <c r="I330" i="16"/>
  <c r="M330" i="16" s="1"/>
  <c r="BC558" i="16"/>
  <c r="AG531" i="16"/>
  <c r="B531" i="16"/>
  <c r="AJ569" i="16"/>
  <c r="AQ570" i="16"/>
  <c r="AQ499" i="16"/>
  <c r="AJ498" i="16"/>
  <c r="I111" i="16"/>
  <c r="B528" i="16"/>
  <c r="E528" i="16" s="1"/>
  <c r="AG528" i="16"/>
  <c r="AP528" i="16" s="1"/>
  <c r="AJ573" i="16"/>
  <c r="AJ574" i="16"/>
  <c r="AP539" i="16"/>
  <c r="AP537" i="16"/>
  <c r="AP551" i="16"/>
  <c r="AP545" i="16"/>
  <c r="AP534" i="16"/>
  <c r="AP535" i="16"/>
  <c r="AP543" i="16"/>
  <c r="AP536" i="16"/>
  <c r="AP468" i="16"/>
  <c r="AP467" i="16"/>
  <c r="AP544" i="16"/>
  <c r="AP461" i="16"/>
  <c r="AP471" i="16"/>
  <c r="AP530" i="16"/>
  <c r="AP550" i="16"/>
  <c r="AP546" i="16"/>
  <c r="AP542" i="16"/>
  <c r="AP540" i="16"/>
  <c r="AP538" i="16"/>
  <c r="AP531" i="16"/>
  <c r="AP541" i="16"/>
  <c r="AP465" i="16"/>
  <c r="M237" i="16"/>
  <c r="R129" i="16"/>
  <c r="AD129" i="16" s="1"/>
  <c r="U129" i="16"/>
  <c r="K127" i="16"/>
  <c r="R127" i="16"/>
  <c r="AD127" i="16" s="1"/>
  <c r="AG127" i="16" s="1"/>
  <c r="U127" i="16"/>
  <c r="R110" i="16"/>
  <c r="AD110" i="16" s="1"/>
  <c r="AG110" i="16" s="1"/>
  <c r="U110" i="16"/>
  <c r="R128" i="16"/>
  <c r="AD128" i="16" s="1"/>
  <c r="U128" i="16"/>
  <c r="N109" i="16"/>
  <c r="P109" i="16" s="1"/>
  <c r="R109" i="16"/>
  <c r="AD109" i="16" s="1"/>
  <c r="AG109" i="16" s="1"/>
  <c r="U109" i="16"/>
  <c r="N111" i="16"/>
  <c r="R111" i="16"/>
  <c r="AD111" i="16" s="1"/>
  <c r="U111" i="16"/>
  <c r="X101" i="16"/>
  <c r="C103" i="16" s="1"/>
  <c r="L644" i="16"/>
  <c r="K109" i="16"/>
  <c r="AM117" i="16" s="1"/>
  <c r="N129" i="16"/>
  <c r="N127" i="16"/>
  <c r="P127" i="16" s="1"/>
  <c r="N110" i="16"/>
  <c r="P110" i="16" s="1"/>
  <c r="K110" i="16"/>
  <c r="K111" i="16"/>
  <c r="N128" i="16"/>
  <c r="K128" i="16"/>
  <c r="K129" i="16"/>
  <c r="AI538" i="16"/>
  <c r="AI539" i="16"/>
  <c r="AS198" i="16"/>
  <c r="AT198" i="16" s="1"/>
  <c r="AH198" i="16" s="1"/>
  <c r="AJ499" i="16"/>
  <c r="AJ570" i="16"/>
  <c r="E529" i="16"/>
  <c r="E530" i="16"/>
  <c r="E531" i="16"/>
  <c r="E458" i="16"/>
  <c r="AG458" i="16"/>
  <c r="B527" i="16"/>
  <c r="E527" i="16" s="1"/>
  <c r="AG527" i="16"/>
  <c r="X27" i="14"/>
  <c r="T512" i="16"/>
  <c r="J459" i="16"/>
  <c r="W577" i="16"/>
  <c r="N521" i="16" s="1"/>
  <c r="E535" i="16"/>
  <c r="E534" i="16"/>
  <c r="AI546" i="16"/>
  <c r="AI529" i="16"/>
  <c r="J529" i="16" s="1"/>
  <c r="J460" i="16"/>
  <c r="J462" i="16"/>
  <c r="AI531" i="16"/>
  <c r="J531" i="16" s="1"/>
  <c r="AI547" i="16"/>
  <c r="AI550" i="16"/>
  <c r="AG130" i="16"/>
  <c r="H19" i="16"/>
  <c r="AI540" i="16"/>
  <c r="F19" i="14"/>
  <c r="F20" i="14"/>
  <c r="P237" i="16" l="1"/>
  <c r="F286" i="16" s="1"/>
  <c r="Q452" i="16"/>
  <c r="AR498" i="16" s="1"/>
  <c r="I222" i="16"/>
  <c r="S237" i="16"/>
  <c r="I287" i="16" s="1"/>
  <c r="I250" i="16"/>
  <c r="E223" i="16"/>
  <c r="P209" i="16"/>
  <c r="E296" i="16"/>
  <c r="K394" i="16"/>
  <c r="I115" i="16"/>
  <c r="P111" i="16"/>
  <c r="P115" i="16" s="1"/>
  <c r="AG111" i="16"/>
  <c r="L590" i="16"/>
  <c r="L615" i="16"/>
  <c r="P128" i="16"/>
  <c r="P640" i="16"/>
  <c r="AQ540" i="16"/>
  <c r="AP527" i="16"/>
  <c r="AQ463" i="16"/>
  <c r="AP458" i="16"/>
  <c r="AQ481" i="16"/>
  <c r="AQ478" i="16"/>
  <c r="AQ480" i="16"/>
  <c r="AQ474" i="16"/>
  <c r="AQ473" i="16"/>
  <c r="AQ471" i="16"/>
  <c r="AQ475" i="16"/>
  <c r="AQ484" i="16"/>
  <c r="AQ476" i="16"/>
  <c r="AQ477" i="16"/>
  <c r="AQ472" i="16"/>
  <c r="AQ479" i="16"/>
  <c r="AQ466" i="16"/>
  <c r="AQ470" i="16"/>
  <c r="AQ464" i="16"/>
  <c r="AQ537" i="16"/>
  <c r="AQ545" i="16"/>
  <c r="AQ550" i="16"/>
  <c r="AQ539" i="16"/>
  <c r="AQ549" i="16"/>
  <c r="AQ532" i="16"/>
  <c r="AQ551" i="16"/>
  <c r="AQ541" i="16"/>
  <c r="AQ547" i="16"/>
  <c r="AQ534" i="16"/>
  <c r="AQ546" i="16"/>
  <c r="AQ536" i="16"/>
  <c r="AQ542" i="16"/>
  <c r="AQ544" i="16"/>
  <c r="AQ535" i="16"/>
  <c r="AQ552" i="16"/>
  <c r="AQ548" i="16"/>
  <c r="AQ538" i="16"/>
  <c r="AQ553" i="16"/>
  <c r="AQ543" i="16"/>
  <c r="AQ461" i="16"/>
  <c r="AQ468" i="16"/>
  <c r="AQ467" i="16"/>
  <c r="AQ482" i="16"/>
  <c r="AQ483" i="16"/>
  <c r="AQ527" i="16"/>
  <c r="G527" i="16" s="1"/>
  <c r="AQ529" i="16"/>
  <c r="AQ530" i="16"/>
  <c r="AQ528" i="16"/>
  <c r="AQ531" i="16"/>
  <c r="AQ533" i="16"/>
  <c r="AQ458" i="16"/>
  <c r="G458" i="16" s="1"/>
  <c r="AQ465" i="16"/>
  <c r="AQ460" i="16"/>
  <c r="AQ459" i="16"/>
  <c r="AQ469" i="16"/>
  <c r="AQ462" i="16"/>
  <c r="AG128" i="16"/>
  <c r="AG129" i="16"/>
  <c r="P129" i="16"/>
  <c r="U489" i="16" l="1"/>
  <c r="U491" i="16" s="1"/>
  <c r="Q521" i="16"/>
  <c r="AR569" i="16" s="1"/>
  <c r="E251" i="16"/>
  <c r="AR502" i="16"/>
  <c r="AK502" i="16" s="1"/>
  <c r="AL501" i="16" s="1"/>
  <c r="AK498" i="16"/>
  <c r="AL497" i="16" s="1"/>
  <c r="K487" i="16"/>
  <c r="L491" i="16"/>
  <c r="T452" i="16"/>
  <c r="E487" i="16" s="1"/>
  <c r="O492" i="16"/>
  <c r="P132" i="16"/>
  <c r="AG115" i="16"/>
  <c r="AG116" i="16" s="1"/>
  <c r="AG117" i="16" s="1"/>
  <c r="U119" i="16"/>
  <c r="AO118" i="16" s="1"/>
  <c r="P119" i="16"/>
  <c r="U582" i="16"/>
  <c r="L584" i="16"/>
  <c r="K556" i="16"/>
  <c r="T521" i="16"/>
  <c r="E556" i="16" s="1"/>
  <c r="G535" i="16"/>
  <c r="G466" i="16"/>
  <c r="G531" i="16"/>
  <c r="G536" i="16"/>
  <c r="G532" i="16"/>
  <c r="G464" i="16"/>
  <c r="G463" i="16"/>
  <c r="AG132" i="16"/>
  <c r="AG133" i="16" s="1"/>
  <c r="G534" i="16"/>
  <c r="G533" i="16"/>
  <c r="G461" i="16"/>
  <c r="G528" i="16"/>
  <c r="G530" i="16"/>
  <c r="G460" i="16"/>
  <c r="G462" i="16"/>
  <c r="G529" i="16"/>
  <c r="G465" i="16"/>
  <c r="G459" i="16"/>
  <c r="E598" i="16" l="1"/>
  <c r="O584" i="16"/>
  <c r="AK569" i="16"/>
  <c r="AL569" i="16" s="1"/>
  <c r="L583" i="16"/>
  <c r="U583" i="16" s="1"/>
  <c r="U581" i="16"/>
  <c r="AR573" i="16"/>
  <c r="AK573" i="16" s="1"/>
  <c r="AK458" i="16"/>
  <c r="M458" i="16" s="1"/>
  <c r="AL498" i="16"/>
  <c r="AM498" i="16" s="1"/>
  <c r="AK461" i="16" s="1"/>
  <c r="M461" i="16" s="1"/>
  <c r="O461" i="16" s="1"/>
  <c r="AL502" i="16"/>
  <c r="AM502" i="16" s="1"/>
  <c r="AJ460" i="16" s="1"/>
  <c r="AN460" i="16" s="1"/>
  <c r="V209" i="16"/>
  <c r="I221" i="16" s="1"/>
  <c r="AG118" i="16"/>
  <c r="U120" i="16" s="1"/>
  <c r="B195" i="16" s="1"/>
  <c r="S195" i="16" s="1"/>
  <c r="I223" i="16" s="1"/>
  <c r="M224" i="16" s="1"/>
  <c r="AS120" i="16"/>
  <c r="U134" i="16"/>
  <c r="AG134" i="16"/>
  <c r="AG135" i="16" s="1"/>
  <c r="U135" i="16" s="1"/>
  <c r="P134" i="16"/>
  <c r="AM569" i="16" l="1"/>
  <c r="AK549" i="16" s="1"/>
  <c r="AL572" i="16"/>
  <c r="AL573" i="16"/>
  <c r="AK463" i="16"/>
  <c r="M463" i="16" s="1"/>
  <c r="O463" i="16" s="1"/>
  <c r="AK475" i="16"/>
  <c r="AK481" i="16"/>
  <c r="AL481" i="16" s="1"/>
  <c r="AK476" i="16"/>
  <c r="AL476" i="16" s="1"/>
  <c r="AK459" i="16"/>
  <c r="M459" i="16" s="1"/>
  <c r="AK471" i="16"/>
  <c r="AL471" i="16" s="1"/>
  <c r="AK466" i="16"/>
  <c r="M466" i="16" s="1"/>
  <c r="O466" i="16" s="1"/>
  <c r="AK469" i="16"/>
  <c r="AL469" i="16" s="1"/>
  <c r="AK470" i="16"/>
  <c r="AL470" i="16" s="1"/>
  <c r="AK473" i="16"/>
  <c r="AK480" i="16"/>
  <c r="AL480" i="16" s="1"/>
  <c r="AK483" i="16"/>
  <c r="AL483" i="16" s="1"/>
  <c r="AK460" i="16"/>
  <c r="M460" i="16" s="1"/>
  <c r="AK474" i="16"/>
  <c r="AK465" i="16"/>
  <c r="M465" i="16" s="1"/>
  <c r="O465" i="16" s="1"/>
  <c r="AK479" i="16"/>
  <c r="AL479" i="16" s="1"/>
  <c r="AK464" i="16"/>
  <c r="M464" i="16" s="1"/>
  <c r="O464" i="16" s="1"/>
  <c r="AK472" i="16"/>
  <c r="AK462" i="16"/>
  <c r="AL462" i="16" s="1"/>
  <c r="AK477" i="16"/>
  <c r="AL477" i="16" s="1"/>
  <c r="AK482" i="16"/>
  <c r="AL482" i="16" s="1"/>
  <c r="AK467" i="16"/>
  <c r="AK478" i="16"/>
  <c r="AL478" i="16" s="1"/>
  <c r="AK468" i="16"/>
  <c r="AJ459" i="16"/>
  <c r="AN459" i="16" s="1"/>
  <c r="AJ458" i="16"/>
  <c r="AN458" i="16" s="1"/>
  <c r="AJ463" i="16"/>
  <c r="AN463" i="16" s="1"/>
  <c r="AJ470" i="16"/>
  <c r="AN470" i="16" s="1"/>
  <c r="AJ478" i="16"/>
  <c r="AN478" i="16" s="1"/>
  <c r="AJ481" i="16"/>
  <c r="AN481" i="16" s="1"/>
  <c r="AJ465" i="16"/>
  <c r="AN465" i="16" s="1"/>
  <c r="AJ467" i="16"/>
  <c r="AN467" i="16" s="1"/>
  <c r="AJ483" i="16"/>
  <c r="AN483" i="16" s="1"/>
  <c r="AJ469" i="16"/>
  <c r="AN469" i="16" s="1"/>
  <c r="AJ476" i="16"/>
  <c r="AN476" i="16" s="1"/>
  <c r="AJ473" i="16"/>
  <c r="AN473" i="16" s="1"/>
  <c r="AJ468" i="16"/>
  <c r="AN468" i="16" s="1"/>
  <c r="AJ472" i="16"/>
  <c r="AN472" i="16" s="1"/>
  <c r="AJ482" i="16"/>
  <c r="AN482" i="16" s="1"/>
  <c r="AJ475" i="16"/>
  <c r="AN475" i="16" s="1"/>
  <c r="AJ479" i="16"/>
  <c r="AN479" i="16" s="1"/>
  <c r="AJ477" i="16"/>
  <c r="AN477" i="16" s="1"/>
  <c r="AJ466" i="16"/>
  <c r="AN466" i="16" s="1"/>
  <c r="AJ471" i="16"/>
  <c r="AN471" i="16" s="1"/>
  <c r="AJ480" i="16"/>
  <c r="AN480" i="16" s="1"/>
  <c r="AJ474" i="16"/>
  <c r="AN474" i="16" s="1"/>
  <c r="AJ462" i="16"/>
  <c r="AN462" i="16" s="1"/>
  <c r="AJ464" i="16"/>
  <c r="AN464" i="16" s="1"/>
  <c r="AL461" i="16"/>
  <c r="AJ461" i="16"/>
  <c r="AN461" i="16" s="1"/>
  <c r="B198" i="16"/>
  <c r="S198" i="16" s="1"/>
  <c r="I251" i="16" s="1"/>
  <c r="M252" i="16" s="1"/>
  <c r="N282" i="16"/>
  <c r="N269" i="16"/>
  <c r="N276" i="16"/>
  <c r="AR118" i="16"/>
  <c r="AQ117" i="16" s="1"/>
  <c r="AS117" i="16" s="1"/>
  <c r="V237" i="16"/>
  <c r="M195" i="16"/>
  <c r="F195" i="16"/>
  <c r="AK542" i="16" l="1"/>
  <c r="AY542" i="16" s="1"/>
  <c r="AK538" i="16"/>
  <c r="AY538" i="16" s="1"/>
  <c r="AK550" i="16"/>
  <c r="AY550" i="16" s="1"/>
  <c r="AK544" i="16"/>
  <c r="AL544" i="16" s="1"/>
  <c r="AK551" i="16"/>
  <c r="AY551" i="16" s="1"/>
  <c r="AK540" i="16"/>
  <c r="AY540" i="16" s="1"/>
  <c r="AK536" i="16"/>
  <c r="M536" i="16" s="1"/>
  <c r="O536" i="16" s="1"/>
  <c r="AK553" i="16"/>
  <c r="AY553" i="16" s="1"/>
  <c r="AK541" i="16"/>
  <c r="AY541" i="16" s="1"/>
  <c r="AK552" i="16"/>
  <c r="AY552" i="16" s="1"/>
  <c r="AK543" i="16"/>
  <c r="AK547" i="16"/>
  <c r="AL547" i="16" s="1"/>
  <c r="AK537" i="16"/>
  <c r="AK539" i="16"/>
  <c r="AY539" i="16" s="1"/>
  <c r="AK546" i="16"/>
  <c r="AL546" i="16" s="1"/>
  <c r="AK545" i="16"/>
  <c r="AY545" i="16" s="1"/>
  <c r="AK548" i="16"/>
  <c r="AL548" i="16" s="1"/>
  <c r="AL543" i="16"/>
  <c r="AY543" i="16"/>
  <c r="AL542" i="16"/>
  <c r="AL551" i="16"/>
  <c r="AL549" i="16"/>
  <c r="AY549" i="16"/>
  <c r="AY547" i="16"/>
  <c r="AL463" i="16"/>
  <c r="AM573" i="16"/>
  <c r="AJ545" i="16" s="1"/>
  <c r="AX545" i="16" s="1"/>
  <c r="AJ527" i="16"/>
  <c r="AJ528" i="16"/>
  <c r="AJ530" i="16"/>
  <c r="AJ529" i="16"/>
  <c r="AL466" i="16"/>
  <c r="AL475" i="16"/>
  <c r="AL464" i="16"/>
  <c r="AL472" i="16"/>
  <c r="AL467" i="16"/>
  <c r="AL465" i="16"/>
  <c r="AL468" i="16"/>
  <c r="AL474" i="16"/>
  <c r="AL473" i="16"/>
  <c r="M462" i="16"/>
  <c r="O462" i="16" s="1"/>
  <c r="AN485" i="16"/>
  <c r="N275" i="16"/>
  <c r="N273" i="16"/>
  <c r="M285" i="16" s="1"/>
  <c r="I286" i="16"/>
  <c r="N270" i="16"/>
  <c r="O287" i="16" s="1"/>
  <c r="N281" i="16"/>
  <c r="W287" i="16" s="1"/>
  <c r="N279" i="16"/>
  <c r="Q285" i="16" s="1"/>
  <c r="I249" i="16"/>
  <c r="F285" i="16"/>
  <c r="N268" i="16"/>
  <c r="I285" i="16" s="1"/>
  <c r="M221" i="16"/>
  <c r="E224" i="16" s="1"/>
  <c r="Q222" i="16"/>
  <c r="I224" i="16" s="1"/>
  <c r="F198" i="16"/>
  <c r="M249" i="16" s="1"/>
  <c r="AL553" i="16" l="1"/>
  <c r="AL536" i="16"/>
  <c r="AL550" i="16"/>
  <c r="AL539" i="16"/>
  <c r="AL538" i="16"/>
  <c r="AL541" i="16"/>
  <c r="AL552" i="16"/>
  <c r="AJ531" i="16"/>
  <c r="AX531" i="16" s="1"/>
  <c r="AL540" i="16"/>
  <c r="AL545" i="16"/>
  <c r="AY544" i="16"/>
  <c r="AY536" i="16"/>
  <c r="AY546" i="16"/>
  <c r="AL537" i="16"/>
  <c r="AY537" i="16"/>
  <c r="AJ536" i="16"/>
  <c r="AN536" i="16" s="1"/>
  <c r="AJ544" i="16"/>
  <c r="AN544" i="16" s="1"/>
  <c r="AJ553" i="16"/>
  <c r="AX553" i="16" s="1"/>
  <c r="AJ547" i="16"/>
  <c r="AN547" i="16" s="1"/>
  <c r="AJ540" i="16"/>
  <c r="AN540" i="16" s="1"/>
  <c r="AY548" i="16"/>
  <c r="AJ543" i="16"/>
  <c r="AN543" i="16" s="1"/>
  <c r="AJ550" i="16"/>
  <c r="AN550" i="16" s="1"/>
  <c r="AJ552" i="16"/>
  <c r="AX552" i="16" s="1"/>
  <c r="AJ551" i="16"/>
  <c r="AN551" i="16" s="1"/>
  <c r="AJ546" i="16"/>
  <c r="AX546" i="16" s="1"/>
  <c r="AJ538" i="16"/>
  <c r="AX538" i="16" s="1"/>
  <c r="AN545" i="16"/>
  <c r="AN529" i="16"/>
  <c r="AX529" i="16"/>
  <c r="AJ542" i="16"/>
  <c r="AN552" i="16"/>
  <c r="AX527" i="16"/>
  <c r="AN527" i="16"/>
  <c r="AJ539" i="16"/>
  <c r="AJ541" i="16"/>
  <c r="AJ533" i="16"/>
  <c r="AJ548" i="16"/>
  <c r="AJ537" i="16"/>
  <c r="AJ532" i="16"/>
  <c r="AN530" i="16"/>
  <c r="AX530" i="16"/>
  <c r="AN528" i="16"/>
  <c r="AX528" i="16"/>
  <c r="AJ535" i="16"/>
  <c r="AJ534" i="16"/>
  <c r="AJ549" i="16"/>
  <c r="E252" i="16"/>
  <c r="Q224" i="16"/>
  <c r="E225" i="16" s="1"/>
  <c r="M225" i="16" s="1"/>
  <c r="S228" i="16" s="1"/>
  <c r="S230" i="16" s="1"/>
  <c r="F288" i="16"/>
  <c r="M286" i="16"/>
  <c r="J288" i="16" s="1"/>
  <c r="S287" i="16"/>
  <c r="N288" i="16" s="1"/>
  <c r="M198" i="16"/>
  <c r="AN531" i="16" l="1"/>
  <c r="AN538" i="16"/>
  <c r="AN546" i="16"/>
  <c r="AX550" i="16"/>
  <c r="AX536" i="16"/>
  <c r="AX543" i="16"/>
  <c r="AX544" i="16"/>
  <c r="AX540" i="16"/>
  <c r="AX547" i="16"/>
  <c r="AX551" i="16"/>
  <c r="AN534" i="16"/>
  <c r="AX534" i="16"/>
  <c r="AX539" i="16"/>
  <c r="AN539" i="16"/>
  <c r="AN532" i="16"/>
  <c r="AX532" i="16"/>
  <c r="AX535" i="16"/>
  <c r="AN535" i="16"/>
  <c r="AX533" i="16"/>
  <c r="AN533" i="16"/>
  <c r="AX542" i="16"/>
  <c r="AN542" i="16"/>
  <c r="AX548" i="16"/>
  <c r="AN548" i="16"/>
  <c r="AX541" i="16"/>
  <c r="AN541" i="16"/>
  <c r="AN537" i="16"/>
  <c r="AX537" i="16"/>
  <c r="AX549" i="16"/>
  <c r="AN549" i="16"/>
  <c r="E644" i="16"/>
  <c r="E645" i="16" s="1"/>
  <c r="AI1" i="16"/>
  <c r="R288" i="16"/>
  <c r="F289" i="16" s="1"/>
  <c r="N289" i="16" s="1"/>
  <c r="H394" i="16" s="1"/>
  <c r="Q250" i="16"/>
  <c r="I252" i="16" s="1"/>
  <c r="Q252" i="16" s="1"/>
  <c r="E253" i="16" s="1"/>
  <c r="M253" i="16" s="1"/>
  <c r="E394" i="16" s="1"/>
  <c r="AX557" i="16" l="1"/>
  <c r="AN557" i="16"/>
  <c r="Q394" i="16"/>
  <c r="A25" i="7"/>
  <c r="R644" i="16" l="1"/>
  <c r="R645" i="16" s="1"/>
  <c r="S397" i="16"/>
  <c r="AK1" i="16" s="1"/>
  <c r="W394" i="16"/>
  <c r="F3" i="14"/>
  <c r="A13" i="11"/>
  <c r="B8" i="10"/>
  <c r="B5" i="10"/>
  <c r="G11" i="7"/>
  <c r="G11" i="14" s="1"/>
  <c r="G9" i="14"/>
  <c r="F3" i="7"/>
  <c r="B8" i="6"/>
  <c r="B5" i="6"/>
  <c r="B5" i="5"/>
  <c r="V2" i="7" s="1"/>
  <c r="S399" i="16" l="1"/>
  <c r="G10" i="14"/>
  <c r="V2" i="14"/>
  <c r="B26" i="10"/>
  <c r="B26" i="6"/>
  <c r="A26" i="11" l="1"/>
  <c r="N537" i="3"/>
  <c r="F537" i="3"/>
  <c r="N537" i="2"/>
  <c r="F537" i="2"/>
  <c r="BC13" i="3"/>
  <c r="BC12" i="3"/>
  <c r="BC11" i="3"/>
  <c r="BC10" i="3"/>
  <c r="BC9" i="3"/>
  <c r="BC8" i="3"/>
  <c r="BC7" i="3"/>
  <c r="BC6" i="3"/>
  <c r="BC13" i="2"/>
  <c r="BC12" i="2"/>
  <c r="BC11" i="2"/>
  <c r="BC10" i="2"/>
  <c r="BC9" i="2"/>
  <c r="BC8" i="2"/>
  <c r="BC7" i="2"/>
  <c r="BC6" i="2"/>
  <c r="BC16" i="3"/>
  <c r="BC17" i="3"/>
  <c r="BC18" i="3"/>
  <c r="AJ456" i="3" s="1"/>
  <c r="J458" i="3" s="1"/>
  <c r="BC19" i="3"/>
  <c r="BC20" i="3"/>
  <c r="AI335" i="3" s="1"/>
  <c r="J341" i="3" s="1"/>
  <c r="BC21" i="3"/>
  <c r="BC22" i="3"/>
  <c r="BC23" i="3"/>
  <c r="BC24" i="3"/>
  <c r="BC25" i="3"/>
  <c r="BC15" i="3"/>
  <c r="BC16" i="2"/>
  <c r="BC17" i="2"/>
  <c r="BC18" i="2"/>
  <c r="BC19" i="2"/>
  <c r="BC20" i="2"/>
  <c r="BC21" i="2"/>
  <c r="BC22" i="2"/>
  <c r="BC23" i="2"/>
  <c r="BC24" i="2"/>
  <c r="BC25" i="2"/>
  <c r="BC15" i="2"/>
  <c r="AD451" i="3"/>
  <c r="AG451" i="3" s="1"/>
  <c r="AD450" i="3"/>
  <c r="AD328" i="3"/>
  <c r="D530" i="3"/>
  <c r="X526" i="3"/>
  <c r="S526" i="3"/>
  <c r="O526" i="3"/>
  <c r="J530" i="3" s="1"/>
  <c r="K526" i="3"/>
  <c r="H530" i="3" s="1"/>
  <c r="G526" i="3"/>
  <c r="AJ496" i="3"/>
  <c r="AM495" i="3"/>
  <c r="AL495" i="3"/>
  <c r="AJ495" i="3"/>
  <c r="AM494" i="3"/>
  <c r="AL494" i="3"/>
  <c r="AI492" i="3"/>
  <c r="AJ492" i="3" s="1"/>
  <c r="AI491" i="3"/>
  <c r="AJ491" i="3" s="1"/>
  <c r="AK490" i="3"/>
  <c r="AM490" i="3" s="1"/>
  <c r="AJ488" i="3"/>
  <c r="AL487" i="3" s="1"/>
  <c r="AJ487" i="3"/>
  <c r="AM486" i="3"/>
  <c r="AL486" i="3"/>
  <c r="U486" i="3"/>
  <c r="W440" i="3" s="1"/>
  <c r="I471" i="3" s="1"/>
  <c r="AI484" i="3"/>
  <c r="AI480" i="3"/>
  <c r="AU470" i="3"/>
  <c r="AE470" i="3"/>
  <c r="AU469" i="3"/>
  <c r="AE469" i="3"/>
  <c r="AD469" i="3"/>
  <c r="P469" i="3"/>
  <c r="AU468" i="3"/>
  <c r="AE468" i="3"/>
  <c r="AU467" i="3"/>
  <c r="AE467" i="3"/>
  <c r="B467" i="3"/>
  <c r="E467" i="3" s="1"/>
  <c r="AU466" i="3"/>
  <c r="AF466" i="3"/>
  <c r="AE466" i="3"/>
  <c r="E466" i="3"/>
  <c r="B466" i="3"/>
  <c r="AU465" i="3"/>
  <c r="AF465" i="3"/>
  <c r="AE465" i="3"/>
  <c r="AD465" i="3"/>
  <c r="AG465" i="3" s="1"/>
  <c r="E465" i="3"/>
  <c r="B465" i="3"/>
  <c r="AU464" i="3"/>
  <c r="AF464" i="3"/>
  <c r="AE464" i="3"/>
  <c r="AU463" i="3"/>
  <c r="AF463" i="3"/>
  <c r="AE463" i="3"/>
  <c r="B463" i="3"/>
  <c r="AU462" i="3"/>
  <c r="AF462" i="3"/>
  <c r="AE462" i="3"/>
  <c r="AU461" i="3"/>
  <c r="AF461" i="3"/>
  <c r="AE461" i="3"/>
  <c r="AD461" i="3"/>
  <c r="AU460" i="3"/>
  <c r="AJ460" i="3"/>
  <c r="J462" i="3" s="1"/>
  <c r="AF460" i="3"/>
  <c r="D462" i="3" s="1"/>
  <c r="AE460" i="3"/>
  <c r="AU459" i="3"/>
  <c r="AF459" i="3"/>
  <c r="AE459" i="3"/>
  <c r="AU458" i="3"/>
  <c r="AF458" i="3"/>
  <c r="AE458" i="3"/>
  <c r="AD458" i="3"/>
  <c r="AU457" i="3"/>
  <c r="AF457" i="3"/>
  <c r="D459" i="3" s="1"/>
  <c r="AE457" i="3"/>
  <c r="AU456" i="3"/>
  <c r="AF456" i="3"/>
  <c r="AE456" i="3"/>
  <c r="AU455" i="3"/>
  <c r="AF455" i="3"/>
  <c r="AE455" i="3"/>
  <c r="AD455" i="3"/>
  <c r="AU454" i="3"/>
  <c r="AF454" i="3"/>
  <c r="AE454" i="3"/>
  <c r="D454" i="3"/>
  <c r="B455" i="3" s="1"/>
  <c r="AU453" i="3"/>
  <c r="AF453" i="3"/>
  <c r="AE453" i="3"/>
  <c r="AU452" i="3"/>
  <c r="AF452" i="3"/>
  <c r="AE452" i="3"/>
  <c r="AD452" i="3"/>
  <c r="AU451" i="3"/>
  <c r="AJ451" i="3"/>
  <c r="J453" i="3" s="1"/>
  <c r="AF451" i="3"/>
  <c r="D453" i="3" s="1"/>
  <c r="E453" i="3" s="1"/>
  <c r="AE451" i="3"/>
  <c r="D451" i="3"/>
  <c r="B452" i="3" s="1"/>
  <c r="AU450" i="3"/>
  <c r="AF450" i="3"/>
  <c r="D452" i="3" s="1"/>
  <c r="AE450" i="3"/>
  <c r="D450" i="3"/>
  <c r="AU449" i="3"/>
  <c r="AE449" i="3"/>
  <c r="AU448" i="3"/>
  <c r="AF448" i="3"/>
  <c r="AG449" i="3" s="1"/>
  <c r="AE448" i="3"/>
  <c r="AD448" i="3"/>
  <c r="AU447" i="3"/>
  <c r="AJ447" i="3"/>
  <c r="J449" i="3" s="1"/>
  <c r="AF447" i="3"/>
  <c r="AG447" i="3" s="1"/>
  <c r="AQ447" i="3" s="1"/>
  <c r="G449" i="3" s="1"/>
  <c r="AE447" i="3"/>
  <c r="D447" i="3"/>
  <c r="B448" i="3" s="1"/>
  <c r="B447" i="3"/>
  <c r="AU446" i="3"/>
  <c r="AF446" i="3"/>
  <c r="D448" i="3" s="1"/>
  <c r="E448" i="3" s="1"/>
  <c r="AE446" i="3"/>
  <c r="J446" i="3"/>
  <c r="G446" i="3"/>
  <c r="D446" i="3"/>
  <c r="B446" i="3"/>
  <c r="AU445" i="3"/>
  <c r="AG445" i="3"/>
  <c r="AQ445" i="3" s="1"/>
  <c r="AE445" i="3"/>
  <c r="AU444" i="3"/>
  <c r="AQ444" i="3"/>
  <c r="AJ444" i="3"/>
  <c r="AG444" i="3"/>
  <c r="AE444" i="3"/>
  <c r="K440" i="3"/>
  <c r="F478" i="3" s="1"/>
  <c r="H440" i="3"/>
  <c r="D440" i="3"/>
  <c r="B440" i="3"/>
  <c r="F479" i="3" s="1"/>
  <c r="S429" i="3"/>
  <c r="N429" i="3"/>
  <c r="S428" i="3"/>
  <c r="L428" i="3"/>
  <c r="V428" i="3" s="1"/>
  <c r="K432" i="3" s="1"/>
  <c r="S426" i="3"/>
  <c r="K431" i="3" s="1"/>
  <c r="G426" i="3"/>
  <c r="U370" i="3"/>
  <c r="AJ366" i="3"/>
  <c r="AM365" i="3"/>
  <c r="AL365" i="3"/>
  <c r="AJ365" i="3"/>
  <c r="AM364" i="3"/>
  <c r="AL364" i="3"/>
  <c r="AI362" i="3"/>
  <c r="AJ362" i="3" s="1"/>
  <c r="AI361" i="3"/>
  <c r="AJ361" i="3" s="1"/>
  <c r="AL360" i="3" s="1"/>
  <c r="AK360" i="3"/>
  <c r="AJ358" i="3"/>
  <c r="AM357" i="3"/>
  <c r="AJ357" i="3"/>
  <c r="AL357" i="3" s="1"/>
  <c r="E357" i="3"/>
  <c r="AM356" i="3"/>
  <c r="AL356" i="3"/>
  <c r="AI354" i="3"/>
  <c r="P352" i="3"/>
  <c r="B348" i="3"/>
  <c r="E348" i="3" s="1"/>
  <c r="AU347" i="3"/>
  <c r="AD347" i="3"/>
  <c r="AD470" i="3" s="1"/>
  <c r="B347" i="3"/>
  <c r="E347" i="3" s="1"/>
  <c r="AU346" i="3"/>
  <c r="AD346" i="3"/>
  <c r="E346" i="3"/>
  <c r="B346" i="3"/>
  <c r="AU345" i="3"/>
  <c r="AD345" i="3"/>
  <c r="AD468" i="3" s="1"/>
  <c r="D345" i="3"/>
  <c r="AU344" i="3"/>
  <c r="AD344" i="3"/>
  <c r="AD467" i="3" s="1"/>
  <c r="D344" i="3"/>
  <c r="B344" i="3"/>
  <c r="AU343" i="3"/>
  <c r="AD343" i="3"/>
  <c r="D343" i="3"/>
  <c r="AU342" i="3"/>
  <c r="AI342" i="3"/>
  <c r="J348" i="3" s="1"/>
  <c r="AG342" i="3"/>
  <c r="AD342" i="3"/>
  <c r="D342" i="3"/>
  <c r="B342" i="3"/>
  <c r="AU341" i="3"/>
  <c r="AD341" i="3"/>
  <c r="AD464" i="3" s="1"/>
  <c r="D341" i="3"/>
  <c r="AU340" i="3"/>
  <c r="AD340" i="3"/>
  <c r="AD463" i="3" s="1"/>
  <c r="AG463" i="3" s="1"/>
  <c r="D340" i="3"/>
  <c r="B340" i="3"/>
  <c r="AU339" i="3"/>
  <c r="AG339" i="3"/>
  <c r="AD339" i="3"/>
  <c r="AD462" i="3" s="1"/>
  <c r="D339" i="3"/>
  <c r="AU338" i="3"/>
  <c r="AI338" i="3"/>
  <c r="J344" i="3" s="1"/>
  <c r="AG338" i="3"/>
  <c r="AD338" i="3"/>
  <c r="D338" i="3"/>
  <c r="B339" i="3" s="1"/>
  <c r="E339" i="3" s="1"/>
  <c r="AU337" i="3"/>
  <c r="AD337" i="3"/>
  <c r="D337" i="3"/>
  <c r="B338" i="3" s="1"/>
  <c r="B337" i="3"/>
  <c r="E337" i="3" s="1"/>
  <c r="AU336" i="3"/>
  <c r="AG336" i="3"/>
  <c r="AD336" i="3"/>
  <c r="AD459" i="3" s="1"/>
  <c r="D336" i="3"/>
  <c r="B336" i="3"/>
  <c r="E336" i="3" s="1"/>
  <c r="AU335" i="3"/>
  <c r="AD335" i="3"/>
  <c r="AG335" i="3" s="1"/>
  <c r="J335" i="3"/>
  <c r="D335" i="3"/>
  <c r="AU334" i="3"/>
  <c r="AG334" i="3"/>
  <c r="AD334" i="3"/>
  <c r="AD457" i="3" s="1"/>
  <c r="AG457" i="3" s="1"/>
  <c r="J334" i="3"/>
  <c r="D334" i="3"/>
  <c r="AU333" i="3"/>
  <c r="AD333" i="3"/>
  <c r="E333" i="3"/>
  <c r="B333" i="3"/>
  <c r="AU332" i="3"/>
  <c r="AG332" i="3"/>
  <c r="AD332" i="3"/>
  <c r="E332" i="3"/>
  <c r="B332" i="3"/>
  <c r="AU331" i="3"/>
  <c r="AI331" i="3"/>
  <c r="J337" i="3" s="1"/>
  <c r="AG331" i="3"/>
  <c r="AD331" i="3"/>
  <c r="AD454" i="3" s="1"/>
  <c r="E331" i="3"/>
  <c r="B331" i="3"/>
  <c r="AU330" i="3"/>
  <c r="AI330" i="3"/>
  <c r="J336" i="3" s="1"/>
  <c r="AG330" i="3"/>
  <c r="AD330" i="3"/>
  <c r="AD453" i="3" s="1"/>
  <c r="B330" i="3"/>
  <c r="E330" i="3" s="1"/>
  <c r="AU329" i="3"/>
  <c r="AI329" i="3"/>
  <c r="AD329" i="3"/>
  <c r="AG329" i="3" s="1"/>
  <c r="E329" i="3"/>
  <c r="B329" i="3"/>
  <c r="AU328" i="3"/>
  <c r="AG328" i="3"/>
  <c r="E328" i="3"/>
  <c r="B328" i="3"/>
  <c r="AU327" i="3"/>
  <c r="AD327" i="3"/>
  <c r="AG327" i="3" s="1"/>
  <c r="E327" i="3"/>
  <c r="AU326" i="3"/>
  <c r="AG326" i="3"/>
  <c r="AU325" i="3"/>
  <c r="AI325" i="3"/>
  <c r="J331" i="3" s="1"/>
  <c r="AG325" i="3"/>
  <c r="AD325" i="3"/>
  <c r="AU324" i="3"/>
  <c r="AG324" i="3"/>
  <c r="AD324" i="3"/>
  <c r="AD447" i="3" s="1"/>
  <c r="AU323" i="3"/>
  <c r="AD323" i="3"/>
  <c r="AD446" i="3" s="1"/>
  <c r="AG446" i="3" s="1"/>
  <c r="AQ446" i="3" s="1"/>
  <c r="G448" i="3" s="1"/>
  <c r="AU322" i="3"/>
  <c r="AG322" i="3"/>
  <c r="AD322" i="3"/>
  <c r="AU321" i="3"/>
  <c r="AI321" i="3"/>
  <c r="J327" i="3" s="1"/>
  <c r="AG321" i="3"/>
  <c r="K321" i="3"/>
  <c r="L369" i="3" s="1"/>
  <c r="H321" i="3"/>
  <c r="Q321" i="3" s="1"/>
  <c r="U366" i="3" s="1"/>
  <c r="D321" i="3"/>
  <c r="B321" i="3"/>
  <c r="S253" i="3"/>
  <c r="U242" i="3"/>
  <c r="F242" i="3"/>
  <c r="M223" i="3"/>
  <c r="J223" i="3"/>
  <c r="J244" i="3" s="1"/>
  <c r="F223" i="3"/>
  <c r="B223" i="3"/>
  <c r="S209" i="3"/>
  <c r="U198" i="3"/>
  <c r="O198" i="3"/>
  <c r="M178" i="3"/>
  <c r="J178" i="3"/>
  <c r="J200" i="3" s="1"/>
  <c r="F178" i="3"/>
  <c r="B178" i="3"/>
  <c r="X170" i="3"/>
  <c r="O242" i="3" s="1"/>
  <c r="X169" i="3"/>
  <c r="F198" i="3" s="1"/>
  <c r="AL152" i="3"/>
  <c r="AK155" i="3" s="1"/>
  <c r="AL151" i="3"/>
  <c r="AL150" i="3"/>
  <c r="AL128" i="3"/>
  <c r="AD111" i="3"/>
  <c r="AG111" i="3" s="1"/>
  <c r="H111" i="3"/>
  <c r="D110" i="3"/>
  <c r="H110" i="3" s="1"/>
  <c r="B110" i="3"/>
  <c r="R109" i="3"/>
  <c r="AD109" i="3" s="1"/>
  <c r="AG109" i="3" s="1"/>
  <c r="H109" i="3"/>
  <c r="D109" i="3"/>
  <c r="B109" i="3"/>
  <c r="N109" i="3" s="1"/>
  <c r="P109" i="3" s="1"/>
  <c r="N108" i="3"/>
  <c r="D108" i="3"/>
  <c r="H108" i="3" s="1"/>
  <c r="B108" i="3"/>
  <c r="R108" i="3" s="1"/>
  <c r="AD108" i="3" s="1"/>
  <c r="AD107" i="3"/>
  <c r="AG107" i="3" s="1"/>
  <c r="U107" i="3"/>
  <c r="N107" i="3"/>
  <c r="H107" i="3"/>
  <c r="F99" i="3"/>
  <c r="N96" i="3"/>
  <c r="J96" i="3"/>
  <c r="H96" i="3"/>
  <c r="D96" i="3"/>
  <c r="AP78" i="3"/>
  <c r="AO79" i="3" s="1"/>
  <c r="M78" i="3"/>
  <c r="L79" i="3" s="1"/>
  <c r="AP77" i="3"/>
  <c r="M77" i="3"/>
  <c r="AP76" i="3"/>
  <c r="M76" i="3"/>
  <c r="AP75" i="3"/>
  <c r="M75" i="3"/>
  <c r="AP74" i="3"/>
  <c r="M74" i="3"/>
  <c r="J73" i="3" s="1"/>
  <c r="M67" i="3"/>
  <c r="L68" i="3" s="1"/>
  <c r="M66" i="3"/>
  <c r="M65" i="3"/>
  <c r="M64" i="3"/>
  <c r="M63" i="3"/>
  <c r="AP57" i="3"/>
  <c r="AU57" i="3" s="1"/>
  <c r="AO58" i="3" s="1"/>
  <c r="M57" i="3"/>
  <c r="R57" i="3" s="1"/>
  <c r="L58" i="3" s="1"/>
  <c r="AP56" i="3"/>
  <c r="AU56" i="3" s="1"/>
  <c r="R56" i="3"/>
  <c r="M56" i="3"/>
  <c r="AP55" i="3"/>
  <c r="AU55" i="3" s="1"/>
  <c r="M55" i="3"/>
  <c r="R55" i="3" s="1"/>
  <c r="R50" i="3"/>
  <c r="L51" i="3" s="1"/>
  <c r="M50" i="3"/>
  <c r="M49" i="3"/>
  <c r="R49" i="3" s="1"/>
  <c r="R48" i="3"/>
  <c r="M48" i="3"/>
  <c r="BC32" i="3"/>
  <c r="BA32" i="3"/>
  <c r="AX32" i="3"/>
  <c r="BC31" i="3"/>
  <c r="BA31" i="3"/>
  <c r="AX31" i="3"/>
  <c r="BC30" i="3"/>
  <c r="BA30" i="3"/>
  <c r="AX30" i="3"/>
  <c r="BC29" i="3"/>
  <c r="BA29" i="3"/>
  <c r="AX29" i="3"/>
  <c r="BC28" i="3"/>
  <c r="BA28" i="3"/>
  <c r="AX28" i="3"/>
  <c r="BC27" i="3"/>
  <c r="AJ465" i="3" s="1"/>
  <c r="J467" i="3" s="1"/>
  <c r="AX27" i="3"/>
  <c r="BA27" i="3" s="1"/>
  <c r="BC26" i="3"/>
  <c r="AI341" i="3" s="1"/>
  <c r="J347" i="3" s="1"/>
  <c r="BA26" i="3"/>
  <c r="AX26" i="3"/>
  <c r="AI340" i="3"/>
  <c r="J346" i="3" s="1"/>
  <c r="AX25" i="3"/>
  <c r="BA25" i="3" s="1"/>
  <c r="AJ462" i="3"/>
  <c r="J464" i="3" s="1"/>
  <c r="BA24" i="3"/>
  <c r="AX24" i="3"/>
  <c r="AJ461" i="3"/>
  <c r="J463" i="3" s="1"/>
  <c r="BA23" i="3"/>
  <c r="AX23" i="3"/>
  <c r="AI337" i="3"/>
  <c r="J343" i="3" s="1"/>
  <c r="BA22" i="3"/>
  <c r="AX22" i="3"/>
  <c r="AJ459" i="3"/>
  <c r="J461" i="3" s="1"/>
  <c r="AX21" i="3"/>
  <c r="BA21" i="3" s="1"/>
  <c r="BA20" i="3"/>
  <c r="AX20" i="3"/>
  <c r="AI334" i="3"/>
  <c r="J340" i="3" s="1"/>
  <c r="AX19" i="3"/>
  <c r="BA19" i="3" s="1"/>
  <c r="AX18" i="3"/>
  <c r="BA18" i="3" s="1"/>
  <c r="AJ455" i="3"/>
  <c r="J457" i="3" s="1"/>
  <c r="BA17" i="3"/>
  <c r="AX17" i="3"/>
  <c r="AJ454" i="3"/>
  <c r="J456" i="3" s="1"/>
  <c r="BA16" i="3"/>
  <c r="AX16" i="3"/>
  <c r="AJ453" i="3"/>
  <c r="J455" i="3" s="1"/>
  <c r="AX15" i="3"/>
  <c r="BA15" i="3" s="1"/>
  <c r="AH15" i="3"/>
  <c r="AK15" i="3" s="1"/>
  <c r="H15" i="3"/>
  <c r="BC14" i="3"/>
  <c r="AJ452" i="3" s="1"/>
  <c r="J454" i="3" s="1"/>
  <c r="AX14" i="3"/>
  <c r="BA14" i="3" s="1"/>
  <c r="AH14" i="3"/>
  <c r="AK14" i="3" s="1"/>
  <c r="U14" i="3"/>
  <c r="H14" i="3"/>
  <c r="P14" i="3" s="1"/>
  <c r="D14" i="3"/>
  <c r="AI328" i="3"/>
  <c r="AX13" i="3"/>
  <c r="BA13" i="3" s="1"/>
  <c r="AH13" i="3"/>
  <c r="AK13" i="3" s="1"/>
  <c r="P13" i="3"/>
  <c r="H13" i="3"/>
  <c r="D13" i="3"/>
  <c r="AI327" i="3"/>
  <c r="J333" i="3" s="1"/>
  <c r="AX12" i="3"/>
  <c r="BA12" i="3" s="1"/>
  <c r="AH12" i="3"/>
  <c r="AK12" i="3" s="1"/>
  <c r="U12" i="3"/>
  <c r="U108" i="3" s="1"/>
  <c r="H12" i="3"/>
  <c r="P12" i="3" s="1"/>
  <c r="D12" i="3"/>
  <c r="AI326" i="3"/>
  <c r="J332" i="3" s="1"/>
  <c r="AX11" i="3"/>
  <c r="BA11" i="3" s="1"/>
  <c r="AH11" i="3"/>
  <c r="U11" i="3"/>
  <c r="H11" i="3"/>
  <c r="H16" i="3" s="1"/>
  <c r="AJ448" i="3"/>
  <c r="J450" i="3" s="1"/>
  <c r="BA10" i="3"/>
  <c r="AX10" i="3"/>
  <c r="AI324" i="3"/>
  <c r="J330" i="3" s="1"/>
  <c r="BA9" i="3"/>
  <c r="AX9" i="3"/>
  <c r="AJ446" i="3"/>
  <c r="J448" i="3" s="1"/>
  <c r="BA8" i="3"/>
  <c r="AX8" i="3"/>
  <c r="AX7" i="3"/>
  <c r="BA7" i="3" s="1"/>
  <c r="BJ6" i="3"/>
  <c r="BD6" i="3"/>
  <c r="BE6" i="3" s="1"/>
  <c r="BA6" i="3"/>
  <c r="K364" i="2"/>
  <c r="BC27" i="2"/>
  <c r="BC26" i="2"/>
  <c r="BC14" i="2"/>
  <c r="Q440" i="2"/>
  <c r="M465" i="2"/>
  <c r="M466" i="2"/>
  <c r="M467" i="2"/>
  <c r="G465" i="2"/>
  <c r="G466" i="2"/>
  <c r="G467" i="2"/>
  <c r="E465" i="2"/>
  <c r="E466" i="2"/>
  <c r="E467" i="2"/>
  <c r="B465" i="2"/>
  <c r="B466" i="2"/>
  <c r="B467" i="2"/>
  <c r="AF463" i="2"/>
  <c r="AF464" i="2"/>
  <c r="AF465" i="2"/>
  <c r="AF466" i="2"/>
  <c r="E347" i="2"/>
  <c r="E348" i="2"/>
  <c r="B347" i="2"/>
  <c r="B348" i="2"/>
  <c r="A29" i="17" l="1"/>
  <c r="A14" i="12"/>
  <c r="E452" i="3"/>
  <c r="AG450" i="3"/>
  <c r="H112" i="3"/>
  <c r="AG108" i="3"/>
  <c r="P108" i="3"/>
  <c r="P107" i="3"/>
  <c r="AK154" i="3"/>
  <c r="P223" i="3" s="1"/>
  <c r="R242" i="3" s="1"/>
  <c r="BJ25" i="3"/>
  <c r="BD25" i="3"/>
  <c r="BE25" i="3" s="1"/>
  <c r="BJ21" i="3"/>
  <c r="BD21" i="3" s="1"/>
  <c r="BE21" i="3" s="1"/>
  <c r="BJ32" i="3"/>
  <c r="BD32" i="3" s="1"/>
  <c r="BE32" i="3" s="1"/>
  <c r="BJ30" i="3"/>
  <c r="BD30" i="3" s="1"/>
  <c r="BE30" i="3" s="1"/>
  <c r="BJ28" i="3"/>
  <c r="BD28" i="3" s="1"/>
  <c r="BE28" i="3" s="1"/>
  <c r="BJ26" i="3"/>
  <c r="BD26" i="3" s="1"/>
  <c r="BE26" i="3" s="1"/>
  <c r="BJ24" i="3"/>
  <c r="BD24" i="3" s="1"/>
  <c r="BE24" i="3" s="1"/>
  <c r="BJ22" i="3"/>
  <c r="BD22" i="3" s="1"/>
  <c r="BE22" i="3" s="1"/>
  <c r="BJ17" i="3"/>
  <c r="BD17" i="3" s="1"/>
  <c r="BE17" i="3" s="1"/>
  <c r="BJ10" i="3"/>
  <c r="BD10" i="3" s="1"/>
  <c r="BE10" i="3" s="1"/>
  <c r="BJ8" i="3"/>
  <c r="BD8" i="3" s="1"/>
  <c r="BE8" i="3" s="1"/>
  <c r="BJ7" i="3"/>
  <c r="BD7" i="3"/>
  <c r="BE7" i="3" s="1"/>
  <c r="BJ20" i="3"/>
  <c r="BJ27" i="3"/>
  <c r="BD27" i="3"/>
  <c r="BE27" i="3" s="1"/>
  <c r="AQ327" i="3"/>
  <c r="BJ18" i="3"/>
  <c r="BD18" i="3" s="1"/>
  <c r="BE18" i="3" s="1"/>
  <c r="BJ15" i="3"/>
  <c r="BD15" i="3"/>
  <c r="BE15" i="3" s="1"/>
  <c r="BJ12" i="3"/>
  <c r="BD12" i="3"/>
  <c r="BE12" i="3" s="1"/>
  <c r="P11" i="3"/>
  <c r="P16" i="3" s="1"/>
  <c r="AQ328" i="3"/>
  <c r="AG453" i="3"/>
  <c r="T321" i="3"/>
  <c r="E364" i="3" s="1"/>
  <c r="O369" i="3"/>
  <c r="L368" i="3"/>
  <c r="L479" i="3"/>
  <c r="M478" i="3"/>
  <c r="AK447" i="3"/>
  <c r="BJ16" i="3"/>
  <c r="BJ19" i="3"/>
  <c r="BD19" i="3" s="1"/>
  <c r="BE19" i="3" s="1"/>
  <c r="B335" i="3"/>
  <c r="E335" i="3" s="1"/>
  <c r="E334" i="3"/>
  <c r="AG337" i="3"/>
  <c r="AQ346" i="3" s="1"/>
  <c r="AD460" i="3"/>
  <c r="AG460" i="3" s="1"/>
  <c r="AM360" i="3"/>
  <c r="W321" i="3"/>
  <c r="I364" i="3"/>
  <c r="E451" i="3"/>
  <c r="AG455" i="3"/>
  <c r="AJ457" i="3"/>
  <c r="J459" i="3" s="1"/>
  <c r="AG459" i="3"/>
  <c r="AG461" i="3"/>
  <c r="AJ463" i="3"/>
  <c r="J465" i="3" s="1"/>
  <c r="AM487" i="3"/>
  <c r="BJ31" i="3"/>
  <c r="BD31" i="3"/>
  <c r="BE31" i="3" s="1"/>
  <c r="AI322" i="3"/>
  <c r="J328" i="3" s="1"/>
  <c r="AJ445" i="3"/>
  <c r="J447" i="3" s="1"/>
  <c r="O431" i="3"/>
  <c r="T431" i="3" s="1"/>
  <c r="L492" i="3" s="1"/>
  <c r="H479" i="3"/>
  <c r="BJ11" i="3"/>
  <c r="BD11" i="3"/>
  <c r="BE11" i="3" s="1"/>
  <c r="BJ14" i="3"/>
  <c r="BD14" i="3"/>
  <c r="BE14" i="3" s="1"/>
  <c r="BD16" i="3"/>
  <c r="BE16" i="3" s="1"/>
  <c r="AL361" i="3"/>
  <c r="AK444" i="3"/>
  <c r="B454" i="3"/>
  <c r="S223" i="3"/>
  <c r="F200" i="3"/>
  <c r="F244" i="3"/>
  <c r="S178" i="3"/>
  <c r="Q440" i="3"/>
  <c r="BJ29" i="3"/>
  <c r="BD29" i="3" s="1"/>
  <c r="BE29" i="3" s="1"/>
  <c r="BJ9" i="3"/>
  <c r="BD9" i="3"/>
  <c r="BE9" i="3" s="1"/>
  <c r="J62" i="3"/>
  <c r="AQ322" i="3"/>
  <c r="AM361" i="3"/>
  <c r="AK446" i="3"/>
  <c r="B460" i="3"/>
  <c r="N479" i="3"/>
  <c r="AM491" i="3"/>
  <c r="AL491" i="3"/>
  <c r="AQ321" i="3"/>
  <c r="G327" i="3" s="1"/>
  <c r="AD456" i="3"/>
  <c r="AG456" i="3" s="1"/>
  <c r="AG333" i="3"/>
  <c r="U13" i="3"/>
  <c r="U109" i="3" s="1"/>
  <c r="AQ331" i="3"/>
  <c r="G337" i="3" s="1"/>
  <c r="E342" i="3"/>
  <c r="B343" i="3"/>
  <c r="E343" i="3" s="1"/>
  <c r="U110" i="3"/>
  <c r="N110" i="3"/>
  <c r="P110" i="3" s="1"/>
  <c r="R110" i="3"/>
  <c r="AD110" i="3" s="1"/>
  <c r="AG110" i="3" s="1"/>
  <c r="K110" i="3"/>
  <c r="B449" i="3"/>
  <c r="AG454" i="3"/>
  <c r="AG464" i="3"/>
  <c r="B536" i="3"/>
  <c r="N530" i="3"/>
  <c r="BD20" i="3"/>
  <c r="BJ13" i="3"/>
  <c r="BD13" i="3"/>
  <c r="BE13" i="3" s="1"/>
  <c r="B345" i="3"/>
  <c r="E345" i="3" s="1"/>
  <c r="E344" i="3"/>
  <c r="AG452" i="3"/>
  <c r="AG458" i="3"/>
  <c r="AG462" i="3"/>
  <c r="E446" i="3"/>
  <c r="AK11" i="3"/>
  <c r="AK16" i="3" s="1"/>
  <c r="AK17" i="3" s="1"/>
  <c r="AK18" i="3" s="1"/>
  <c r="BJ23" i="3"/>
  <c r="BD23" i="3" s="1"/>
  <c r="BE23" i="3" s="1"/>
  <c r="K99" i="3"/>
  <c r="AG323" i="3"/>
  <c r="AQ325" i="3" s="1"/>
  <c r="AI336" i="3"/>
  <c r="J342" i="3" s="1"/>
  <c r="B341" i="3"/>
  <c r="E341" i="3" s="1"/>
  <c r="E340" i="3"/>
  <c r="AK445" i="3"/>
  <c r="G447" i="3"/>
  <c r="D457" i="3"/>
  <c r="D460" i="3"/>
  <c r="D463" i="3"/>
  <c r="AH119" i="3"/>
  <c r="AI323" i="3"/>
  <c r="J329" i="3" s="1"/>
  <c r="AI332" i="3"/>
  <c r="J338" i="3" s="1"/>
  <c r="AI339" i="3"/>
  <c r="J345" i="3" s="1"/>
  <c r="E447" i="3"/>
  <c r="AG448" i="3"/>
  <c r="E454" i="3"/>
  <c r="AJ464" i="3"/>
  <c r="J466" i="3" s="1"/>
  <c r="K478" i="3"/>
  <c r="R478" i="3" s="1"/>
  <c r="N440" i="3" s="1"/>
  <c r="AL490" i="3"/>
  <c r="AI333" i="3"/>
  <c r="J339" i="3" s="1"/>
  <c r="AG340" i="3"/>
  <c r="U367" i="3"/>
  <c r="U368" i="3" s="1"/>
  <c r="AJ458" i="3"/>
  <c r="J460" i="3" s="1"/>
  <c r="K109" i="3"/>
  <c r="E338" i="3"/>
  <c r="AG341" i="3"/>
  <c r="K364" i="3"/>
  <c r="D455" i="3"/>
  <c r="D458" i="3"/>
  <c r="D461" i="3"/>
  <c r="AJ449" i="3"/>
  <c r="J451" i="3" s="1"/>
  <c r="K108" i="3"/>
  <c r="AF119" i="3" s="1"/>
  <c r="D449" i="3"/>
  <c r="AJ450" i="3"/>
  <c r="J452" i="3" s="1"/>
  <c r="D456" i="3"/>
  <c r="AG112" i="3" l="1"/>
  <c r="AG113" i="3" s="1"/>
  <c r="AK331" i="3"/>
  <c r="M337" i="3" s="1"/>
  <c r="O337" i="3" s="1"/>
  <c r="P112" i="3"/>
  <c r="P178" i="3"/>
  <c r="R198" i="3" s="1"/>
  <c r="K471" i="3"/>
  <c r="U483" i="3"/>
  <c r="L485" i="3" s="1"/>
  <c r="AQ466" i="3"/>
  <c r="K116" i="3"/>
  <c r="U116" i="3"/>
  <c r="G331" i="3"/>
  <c r="AK325" i="3"/>
  <c r="AQ456" i="3"/>
  <c r="G458" i="3" s="1"/>
  <c r="AK456" i="3"/>
  <c r="AQ469" i="3"/>
  <c r="AL331" i="3"/>
  <c r="B457" i="3"/>
  <c r="AQ448" i="3"/>
  <c r="G450" i="3" s="1"/>
  <c r="AQ450" i="3"/>
  <c r="AQ345" i="3"/>
  <c r="AQ449" i="3"/>
  <c r="AQ459" i="3"/>
  <c r="G461" i="3" s="1"/>
  <c r="AQ330" i="3"/>
  <c r="Y19" i="3"/>
  <c r="K19" i="3"/>
  <c r="E455" i="3"/>
  <c r="B456" i="3"/>
  <c r="E456" i="3" s="1"/>
  <c r="AQ458" i="3"/>
  <c r="G460" i="3" s="1"/>
  <c r="AQ468" i="3"/>
  <c r="AQ339" i="3"/>
  <c r="M448" i="3"/>
  <c r="O448" i="3" s="1"/>
  <c r="AN446" i="3"/>
  <c r="AK321" i="3"/>
  <c r="AQ463" i="3"/>
  <c r="E449" i="3"/>
  <c r="B450" i="3"/>
  <c r="E450" i="3" s="1"/>
  <c r="AQ467" i="3"/>
  <c r="AQ323" i="3"/>
  <c r="G329" i="3" s="1"/>
  <c r="AK323" i="3"/>
  <c r="AQ326" i="3"/>
  <c r="AQ336" i="3"/>
  <c r="AQ457" i="3"/>
  <c r="AQ334" i="3"/>
  <c r="AQ455" i="3"/>
  <c r="G457" i="3" s="1"/>
  <c r="AQ453" i="3"/>
  <c r="G455" i="3" s="1"/>
  <c r="AQ464" i="3"/>
  <c r="G466" i="3" s="1"/>
  <c r="G334" i="3"/>
  <c r="AK328" i="3"/>
  <c r="M447" i="3"/>
  <c r="O447" i="3" s="1"/>
  <c r="AN445" i="3"/>
  <c r="AQ344" i="3"/>
  <c r="AQ465" i="3"/>
  <c r="AQ342" i="3"/>
  <c r="G333" i="3"/>
  <c r="AK327" i="3"/>
  <c r="AQ470" i="3"/>
  <c r="AQ332" i="3"/>
  <c r="AQ343" i="3"/>
  <c r="G328" i="3"/>
  <c r="AK322" i="3"/>
  <c r="AQ451" i="3"/>
  <c r="AQ338" i="3"/>
  <c r="AQ340" i="3"/>
  <c r="G346" i="3" s="1"/>
  <c r="K21" i="3"/>
  <c r="BE20" i="3"/>
  <c r="AQ329" i="3"/>
  <c r="AN444" i="3"/>
  <c r="M446" i="3"/>
  <c r="O446" i="3" s="1"/>
  <c r="M449" i="3"/>
  <c r="AN447" i="3"/>
  <c r="AQ324" i="3"/>
  <c r="T440" i="3"/>
  <c r="E471" i="3" s="1"/>
  <c r="U482" i="3"/>
  <c r="AQ461" i="3"/>
  <c r="G463" i="3" s="1"/>
  <c r="B464" i="3"/>
  <c r="E464" i="3" s="1"/>
  <c r="E463" i="3"/>
  <c r="Y21" i="3"/>
  <c r="AK19" i="3"/>
  <c r="AN117" i="3"/>
  <c r="AJ117" i="3"/>
  <c r="AG114" i="3"/>
  <c r="AG115" i="3" s="1"/>
  <c r="AQ347" i="3"/>
  <c r="AQ454" i="3"/>
  <c r="G456" i="3" s="1"/>
  <c r="B462" i="3"/>
  <c r="E462" i="3" s="1"/>
  <c r="B461" i="3"/>
  <c r="E461" i="3" s="1"/>
  <c r="E460" i="3"/>
  <c r="AQ337" i="3"/>
  <c r="G343" i="3" s="1"/>
  <c r="AQ341" i="3"/>
  <c r="G347" i="3" s="1"/>
  <c r="AK341" i="3"/>
  <c r="AQ452" i="3"/>
  <c r="G454" i="3" s="1"/>
  <c r="B459" i="3"/>
  <c r="E459" i="3" s="1"/>
  <c r="B458" i="3"/>
  <c r="E458" i="3" s="1"/>
  <c r="E457" i="3"/>
  <c r="AQ462" i="3"/>
  <c r="G464" i="3" s="1"/>
  <c r="AQ333" i="3"/>
  <c r="G339" i="3" s="1"/>
  <c r="AQ460" i="3"/>
  <c r="G462" i="3" s="1"/>
  <c r="AQ335" i="3"/>
  <c r="AK453" i="3" l="1"/>
  <c r="AK459" i="3"/>
  <c r="M461" i="3" s="1"/>
  <c r="O461" i="3" s="1"/>
  <c r="AK455" i="3"/>
  <c r="M457" i="3" s="1"/>
  <c r="O457" i="3" s="1"/>
  <c r="AK460" i="3"/>
  <c r="M462" i="3" s="1"/>
  <c r="O462" i="3" s="1"/>
  <c r="AK337" i="3"/>
  <c r="AK461" i="3"/>
  <c r="AK340" i="3"/>
  <c r="AK462" i="3"/>
  <c r="AN462" i="3" s="1"/>
  <c r="M458" i="3"/>
  <c r="O458" i="3" s="1"/>
  <c r="AN456" i="3"/>
  <c r="M463" i="3"/>
  <c r="O463" i="3" s="1"/>
  <c r="AN461" i="3"/>
  <c r="AN459" i="3"/>
  <c r="AK454" i="3"/>
  <c r="O485" i="3"/>
  <c r="U484" i="3"/>
  <c r="L484" i="3"/>
  <c r="G344" i="3"/>
  <c r="AK338" i="3"/>
  <c r="G340" i="3"/>
  <c r="AK334" i="3"/>
  <c r="G451" i="3"/>
  <c r="AK449" i="3"/>
  <c r="M331" i="3"/>
  <c r="O331" i="3" s="1"/>
  <c r="AL325" i="3"/>
  <c r="M455" i="3"/>
  <c r="O455" i="3" s="1"/>
  <c r="AN453" i="3"/>
  <c r="G465" i="3"/>
  <c r="AK463" i="3"/>
  <c r="G467" i="3"/>
  <c r="AK465" i="3"/>
  <c r="G453" i="3"/>
  <c r="AK451" i="3"/>
  <c r="G459" i="3"/>
  <c r="AK457" i="3"/>
  <c r="G345" i="3"/>
  <c r="AK339" i="3"/>
  <c r="AL340" i="3"/>
  <c r="M346" i="3"/>
  <c r="O346" i="3" s="1"/>
  <c r="AN455" i="3"/>
  <c r="AK452" i="3"/>
  <c r="G330" i="3"/>
  <c r="AK324" i="3"/>
  <c r="AL322" i="3"/>
  <c r="M328" i="3"/>
  <c r="O328" i="3" s="1"/>
  <c r="AK336" i="3"/>
  <c r="G342" i="3"/>
  <c r="G452" i="3"/>
  <c r="AK450" i="3"/>
  <c r="G336" i="3"/>
  <c r="AK330" i="3"/>
  <c r="M327" i="3"/>
  <c r="O327" i="3" s="1"/>
  <c r="AL321" i="3"/>
  <c r="G341" i="3"/>
  <c r="AK335" i="3"/>
  <c r="AK326" i="3"/>
  <c r="G332" i="3"/>
  <c r="AK458" i="3"/>
  <c r="AK448" i="3"/>
  <c r="N238" i="3"/>
  <c r="AH120" i="3"/>
  <c r="AK120" i="3" s="1"/>
  <c r="AJ119" i="3" s="1"/>
  <c r="AL119" i="3" s="1"/>
  <c r="V223" i="3"/>
  <c r="I242" i="3" s="1"/>
  <c r="AL341" i="3"/>
  <c r="M347" i="3"/>
  <c r="O347" i="3" s="1"/>
  <c r="O449" i="3"/>
  <c r="M334" i="3"/>
  <c r="O334" i="3" s="1"/>
  <c r="AL328" i="3"/>
  <c r="M329" i="3"/>
  <c r="O329" i="3" s="1"/>
  <c r="AL323" i="3"/>
  <c r="K119" i="3"/>
  <c r="U119" i="3"/>
  <c r="G338" i="3"/>
  <c r="AK332" i="3"/>
  <c r="N193" i="3"/>
  <c r="V178" i="3"/>
  <c r="I198" i="3" s="1"/>
  <c r="AK333" i="3"/>
  <c r="AK464" i="3"/>
  <c r="AK342" i="3"/>
  <c r="G348" i="3"/>
  <c r="M343" i="3"/>
  <c r="O343" i="3" s="1"/>
  <c r="AL337" i="3"/>
  <c r="B143" i="3"/>
  <c r="N195" i="3"/>
  <c r="G335" i="3"/>
  <c r="AK329" i="3"/>
  <c r="M333" i="3"/>
  <c r="O333" i="3" s="1"/>
  <c r="AL327" i="3"/>
  <c r="M464" i="3" l="1"/>
  <c r="O464" i="3" s="1"/>
  <c r="AN460" i="3"/>
  <c r="M336" i="3"/>
  <c r="O336" i="3" s="1"/>
  <c r="AL330" i="3"/>
  <c r="AN452" i="3"/>
  <c r="M454" i="3"/>
  <c r="O454" i="3" s="1"/>
  <c r="AN465" i="3"/>
  <c r="M467" i="3"/>
  <c r="O467" i="3" s="1"/>
  <c r="M344" i="3"/>
  <c r="O344" i="3" s="1"/>
  <c r="AL338" i="3"/>
  <c r="L143" i="3"/>
  <c r="F143" i="3" s="1"/>
  <c r="K198" i="3" s="1"/>
  <c r="AL332" i="3"/>
  <c r="M338" i="3"/>
  <c r="O338" i="3" s="1"/>
  <c r="N240" i="3"/>
  <c r="AL122" i="3"/>
  <c r="B146" i="3"/>
  <c r="M452" i="3"/>
  <c r="O452" i="3" s="1"/>
  <c r="AN450" i="3"/>
  <c r="AL342" i="3"/>
  <c r="M348" i="3"/>
  <c r="O348" i="3" s="1"/>
  <c r="AL339" i="3"/>
  <c r="M345" i="3"/>
  <c r="O345" i="3" s="1"/>
  <c r="M456" i="3"/>
  <c r="O456" i="3" s="1"/>
  <c r="AN454" i="3"/>
  <c r="AN448" i="3"/>
  <c r="M450" i="3"/>
  <c r="O450" i="3" s="1"/>
  <c r="M460" i="3"/>
  <c r="O460" i="3" s="1"/>
  <c r="AN458" i="3"/>
  <c r="AL336" i="3"/>
  <c r="M342" i="3"/>
  <c r="O342" i="3" s="1"/>
  <c r="M459" i="3"/>
  <c r="O459" i="3" s="1"/>
  <c r="AN457" i="3"/>
  <c r="AN464" i="3"/>
  <c r="M466" i="3"/>
  <c r="O466" i="3" s="1"/>
  <c r="M451" i="3"/>
  <c r="O451" i="3" s="1"/>
  <c r="AN449" i="3"/>
  <c r="M332" i="3"/>
  <c r="O332" i="3" s="1"/>
  <c r="AL326" i="3"/>
  <c r="M453" i="3"/>
  <c r="O453" i="3" s="1"/>
  <c r="AN451" i="3"/>
  <c r="AN463" i="3"/>
  <c r="M465" i="3"/>
  <c r="O465" i="3" s="1"/>
  <c r="M335" i="3"/>
  <c r="O335" i="3" s="1"/>
  <c r="AL329" i="3"/>
  <c r="M339" i="3"/>
  <c r="O339" i="3" s="1"/>
  <c r="AL333" i="3"/>
  <c r="M341" i="3"/>
  <c r="O341" i="3" s="1"/>
  <c r="AL335" i="3"/>
  <c r="M330" i="3"/>
  <c r="O330" i="3" s="1"/>
  <c r="AL324" i="3"/>
  <c r="AL334" i="3"/>
  <c r="M340" i="3"/>
  <c r="O340" i="3" s="1"/>
  <c r="AL348" i="3" l="1"/>
  <c r="O352" i="3"/>
  <c r="N364" i="3" s="1"/>
  <c r="U364" i="3" s="1"/>
  <c r="S377" i="3" s="1"/>
  <c r="S379" i="3" s="1"/>
  <c r="X198" i="3"/>
  <c r="S143" i="3"/>
  <c r="M200" i="3" s="1"/>
  <c r="L146" i="3"/>
  <c r="F146" i="3" s="1"/>
  <c r="K242" i="3" s="1"/>
  <c r="O469" i="3"/>
  <c r="N471" i="3" s="1"/>
  <c r="V471" i="3" s="1"/>
  <c r="O492" i="3" s="1"/>
  <c r="R492" i="3" s="1"/>
  <c r="S498" i="3" s="1"/>
  <c r="AN479" i="3"/>
  <c r="F543" i="3" l="1"/>
  <c r="F544" i="3" s="1"/>
  <c r="F202" i="3"/>
  <c r="H204" i="3" s="1"/>
  <c r="H206" i="3" s="1"/>
  <c r="O206" i="3" s="1"/>
  <c r="S208" i="3" s="1"/>
  <c r="S210" i="3" s="1"/>
  <c r="F536" i="3"/>
  <c r="N543" i="3"/>
  <c r="N544" i="3" s="1"/>
  <c r="S500" i="3"/>
  <c r="S146" i="3"/>
  <c r="M244" i="3" s="1"/>
  <c r="X242" i="3"/>
  <c r="F246" i="3" s="1"/>
  <c r="H248" i="3" s="1"/>
  <c r="H250" i="3" s="1"/>
  <c r="O250" i="3" s="1"/>
  <c r="S252" i="3" s="1"/>
  <c r="N536" i="3" l="1"/>
  <c r="S254" i="3"/>
  <c r="U13" i="2" l="1"/>
  <c r="AJ462" i="2"/>
  <c r="J464" i="2" s="1"/>
  <c r="AJ463" i="2"/>
  <c r="J465" i="2" s="1"/>
  <c r="O465" i="2" s="1"/>
  <c r="AI325" i="2"/>
  <c r="J331" i="2" s="1"/>
  <c r="U12" i="2"/>
  <c r="AI321" i="2"/>
  <c r="J327" i="2" s="1"/>
  <c r="X526" i="2"/>
  <c r="S526" i="2"/>
  <c r="O526" i="2"/>
  <c r="J530" i="2" s="1"/>
  <c r="K526" i="2"/>
  <c r="H530" i="2" s="1"/>
  <c r="G526" i="2"/>
  <c r="D530" i="2" s="1"/>
  <c r="AJ496" i="2"/>
  <c r="AJ495" i="2"/>
  <c r="AM494" i="2" s="1"/>
  <c r="AJ488" i="2"/>
  <c r="AJ487" i="2"/>
  <c r="AL487" i="2" s="1"/>
  <c r="AM486" i="2"/>
  <c r="AL486" i="2"/>
  <c r="AI484" i="2"/>
  <c r="AI491" i="2" s="1"/>
  <c r="AJ491" i="2" s="1"/>
  <c r="U486" i="2"/>
  <c r="AI480" i="2"/>
  <c r="AU470" i="2"/>
  <c r="AE470" i="2"/>
  <c r="AU469" i="2"/>
  <c r="AE469" i="2"/>
  <c r="AU468" i="2"/>
  <c r="AE468" i="2"/>
  <c r="AU467" i="2"/>
  <c r="AE467" i="2"/>
  <c r="AU466" i="2"/>
  <c r="AE466" i="2"/>
  <c r="AU465" i="2"/>
  <c r="AE465" i="2"/>
  <c r="P469" i="2"/>
  <c r="AU464" i="2"/>
  <c r="AE464" i="2"/>
  <c r="AU463" i="2"/>
  <c r="AE463" i="2"/>
  <c r="AU462" i="2"/>
  <c r="AF462" i="2"/>
  <c r="AE462" i="2"/>
  <c r="AU461" i="2"/>
  <c r="AF461" i="2"/>
  <c r="D463" i="2" s="1"/>
  <c r="AE461" i="2"/>
  <c r="AU460" i="2"/>
  <c r="AF460" i="2"/>
  <c r="D462" i="2" s="1"/>
  <c r="B463" i="2" s="1"/>
  <c r="AE460" i="2"/>
  <c r="AU459" i="2"/>
  <c r="AF459" i="2"/>
  <c r="AE459" i="2"/>
  <c r="AU458" i="2"/>
  <c r="AF458" i="2"/>
  <c r="D460" i="2" s="1"/>
  <c r="B461" i="2" s="1"/>
  <c r="AE458" i="2"/>
  <c r="AU457" i="2"/>
  <c r="AF457" i="2"/>
  <c r="AE457" i="2"/>
  <c r="AU456" i="2"/>
  <c r="AF456" i="2"/>
  <c r="AE456" i="2"/>
  <c r="AU455" i="2"/>
  <c r="AF455" i="2"/>
  <c r="D457" i="2" s="1"/>
  <c r="AE455" i="2"/>
  <c r="AU454" i="2"/>
  <c r="AF454" i="2"/>
  <c r="AE454" i="2"/>
  <c r="AU453" i="2"/>
  <c r="AF453" i="2"/>
  <c r="D455" i="2" s="1"/>
  <c r="AE453" i="2"/>
  <c r="AU452" i="2"/>
  <c r="AF452" i="2"/>
  <c r="D454" i="2" s="1"/>
  <c r="B455" i="2" s="1"/>
  <c r="AE452" i="2"/>
  <c r="AU451" i="2"/>
  <c r="AF451" i="2"/>
  <c r="D453" i="2" s="1"/>
  <c r="AE451" i="2"/>
  <c r="D451" i="2"/>
  <c r="B452" i="2" s="1"/>
  <c r="AU450" i="2"/>
  <c r="AF450" i="2"/>
  <c r="AG450" i="2" s="1"/>
  <c r="AE450" i="2"/>
  <c r="AU449" i="2"/>
  <c r="AE449" i="2"/>
  <c r="AU448" i="2"/>
  <c r="AF448" i="2"/>
  <c r="AD449" i="2" s="1"/>
  <c r="AG449" i="2" s="1"/>
  <c r="AE448" i="2"/>
  <c r="AU447" i="2"/>
  <c r="AF447" i="2"/>
  <c r="AE447" i="2"/>
  <c r="AU446" i="2"/>
  <c r="AF446" i="2"/>
  <c r="D448" i="2" s="1"/>
  <c r="B449" i="2" s="1"/>
  <c r="AE446" i="2"/>
  <c r="B446" i="2"/>
  <c r="AU445" i="2"/>
  <c r="AE445" i="2"/>
  <c r="AU444" i="2"/>
  <c r="AG444" i="2"/>
  <c r="AE444" i="2"/>
  <c r="W440" i="2"/>
  <c r="I471" i="2" s="1"/>
  <c r="K440" i="2"/>
  <c r="F478" i="2" s="1"/>
  <c r="H440" i="2"/>
  <c r="D440" i="2"/>
  <c r="M478" i="2" s="1"/>
  <c r="B440" i="2"/>
  <c r="S429" i="2"/>
  <c r="N429" i="2"/>
  <c r="S428" i="2"/>
  <c r="L428" i="2"/>
  <c r="V428" i="2" s="1"/>
  <c r="K432" i="2" s="1"/>
  <c r="G426" i="2"/>
  <c r="N479" i="2" s="1"/>
  <c r="U370" i="2"/>
  <c r="I364" i="2" s="1"/>
  <c r="AJ366" i="2"/>
  <c r="AJ365" i="2"/>
  <c r="AM364" i="2" s="1"/>
  <c r="AJ358" i="2"/>
  <c r="AJ357" i="2"/>
  <c r="AM357" i="2" s="1"/>
  <c r="AI354" i="2"/>
  <c r="AI361" i="2" s="1"/>
  <c r="AJ361" i="2" s="1"/>
  <c r="P352" i="2"/>
  <c r="AU347" i="2"/>
  <c r="AD347" i="2"/>
  <c r="AD470" i="2" s="1"/>
  <c r="AU346" i="2"/>
  <c r="AD346" i="2"/>
  <c r="AD469" i="2" s="1"/>
  <c r="AU345" i="2"/>
  <c r="AD345" i="2"/>
  <c r="AD468" i="2" s="1"/>
  <c r="D345" i="2"/>
  <c r="B346" i="2" s="1"/>
  <c r="E346" i="2" s="1"/>
  <c r="AU344" i="2"/>
  <c r="AD344" i="2"/>
  <c r="AD467" i="2" s="1"/>
  <c r="D344" i="2"/>
  <c r="B345" i="2" s="1"/>
  <c r="AU343" i="2"/>
  <c r="AD343" i="2"/>
  <c r="D343" i="2"/>
  <c r="B344" i="2" s="1"/>
  <c r="AU342" i="2"/>
  <c r="AD342" i="2"/>
  <c r="D342" i="2"/>
  <c r="AU341" i="2"/>
  <c r="AD341" i="2"/>
  <c r="D341" i="2"/>
  <c r="B342" i="2" s="1"/>
  <c r="AU340" i="2"/>
  <c r="AD340" i="2"/>
  <c r="AD463" i="2" s="1"/>
  <c r="AG463" i="2" s="1"/>
  <c r="D340" i="2"/>
  <c r="AU339" i="2"/>
  <c r="AD339" i="2"/>
  <c r="AD462" i="2" s="1"/>
  <c r="D339" i="2"/>
  <c r="B340" i="2" s="1"/>
  <c r="AU338" i="2"/>
  <c r="AD338" i="2"/>
  <c r="AD461" i="2" s="1"/>
  <c r="AG461" i="2" s="1"/>
  <c r="D338" i="2"/>
  <c r="B339" i="2" s="1"/>
  <c r="AU337" i="2"/>
  <c r="AD337" i="2"/>
  <c r="D337" i="2"/>
  <c r="B338" i="2" s="1"/>
  <c r="B337" i="2"/>
  <c r="AU336" i="2"/>
  <c r="AD336" i="2"/>
  <c r="AD459" i="2" s="1"/>
  <c r="D336" i="2"/>
  <c r="AU335" i="2"/>
  <c r="AD335" i="2"/>
  <c r="AD458" i="2" s="1"/>
  <c r="AG458" i="2" s="1"/>
  <c r="D335" i="2"/>
  <c r="B336" i="2" s="1"/>
  <c r="E336" i="2" s="1"/>
  <c r="AU334" i="2"/>
  <c r="AD334" i="2"/>
  <c r="AD457" i="2" s="1"/>
  <c r="D334" i="2"/>
  <c r="AU333" i="2"/>
  <c r="AD333" i="2"/>
  <c r="AD456" i="2" s="1"/>
  <c r="B333" i="2"/>
  <c r="AU332" i="2"/>
  <c r="AD332" i="2"/>
  <c r="AG332" i="2" s="1"/>
  <c r="AU331" i="2"/>
  <c r="AD331" i="2"/>
  <c r="B332" i="2"/>
  <c r="AU330" i="2"/>
  <c r="AD330" i="2"/>
  <c r="AD453" i="2" s="1"/>
  <c r="B331" i="2"/>
  <c r="AU329" i="2"/>
  <c r="AD329" i="2"/>
  <c r="AD452" i="2" s="1"/>
  <c r="AG452" i="2" s="1"/>
  <c r="B330" i="2"/>
  <c r="AU328" i="2"/>
  <c r="AG328" i="2"/>
  <c r="AU327" i="2"/>
  <c r="AD327" i="2"/>
  <c r="AG327" i="2" s="1"/>
  <c r="B328" i="2"/>
  <c r="AU326" i="2"/>
  <c r="AG326" i="2"/>
  <c r="AU325" i="2"/>
  <c r="AD325" i="2"/>
  <c r="AD448" i="2" s="1"/>
  <c r="AU324" i="2"/>
  <c r="AD324" i="2"/>
  <c r="AG324" i="2" s="1"/>
  <c r="AU323" i="2"/>
  <c r="AD323" i="2"/>
  <c r="AD446" i="2" s="1"/>
  <c r="AG446" i="2" s="1"/>
  <c r="AU322" i="2"/>
  <c r="AD322" i="2"/>
  <c r="AU321" i="2"/>
  <c r="AG321" i="2"/>
  <c r="K321" i="2"/>
  <c r="L369" i="2" s="1"/>
  <c r="H321" i="2"/>
  <c r="D321" i="2"/>
  <c r="B321" i="2"/>
  <c r="S253" i="2"/>
  <c r="M223" i="2"/>
  <c r="J223" i="2"/>
  <c r="J244" i="2" s="1"/>
  <c r="F223" i="2"/>
  <c r="B223" i="2"/>
  <c r="U242" i="2" s="1"/>
  <c r="S209" i="2"/>
  <c r="U198" i="2"/>
  <c r="M178" i="2"/>
  <c r="J178" i="2"/>
  <c r="J200" i="2" s="1"/>
  <c r="F178" i="2"/>
  <c r="B178" i="2"/>
  <c r="X170" i="2"/>
  <c r="O242" i="2" s="1"/>
  <c r="X169" i="2"/>
  <c r="F242" i="2" s="1"/>
  <c r="AL152" i="2"/>
  <c r="AL151" i="2"/>
  <c r="AL150" i="2"/>
  <c r="H111" i="2"/>
  <c r="AD111" i="2"/>
  <c r="D110" i="2"/>
  <c r="H110" i="2" s="1"/>
  <c r="B110" i="2"/>
  <c r="D109" i="2"/>
  <c r="H109" i="2" s="1"/>
  <c r="B109" i="2"/>
  <c r="D108" i="2"/>
  <c r="H108" i="2" s="1"/>
  <c r="B108" i="2"/>
  <c r="AD107" i="2"/>
  <c r="U107" i="2"/>
  <c r="N107" i="2"/>
  <c r="H107" i="2"/>
  <c r="F99" i="2"/>
  <c r="N96" i="2"/>
  <c r="J96" i="2"/>
  <c r="H96" i="2"/>
  <c r="D96" i="2"/>
  <c r="AH119" i="2" s="1"/>
  <c r="AP78" i="2"/>
  <c r="AO79" i="2" s="1"/>
  <c r="M78" i="2"/>
  <c r="AP77" i="2"/>
  <c r="M77" i="2"/>
  <c r="AP76" i="2"/>
  <c r="M76" i="2"/>
  <c r="AP75" i="2"/>
  <c r="M75" i="2"/>
  <c r="AP74" i="2"/>
  <c r="M74" i="2"/>
  <c r="M67" i="2"/>
  <c r="L68" i="2" s="1"/>
  <c r="M66" i="2"/>
  <c r="M65" i="2"/>
  <c r="M64" i="2"/>
  <c r="M63" i="2"/>
  <c r="AP57" i="2"/>
  <c r="AU57" i="2" s="1"/>
  <c r="AO58" i="2" s="1"/>
  <c r="R57" i="2"/>
  <c r="L58" i="2" s="1"/>
  <c r="M57" i="2"/>
  <c r="AP56" i="2"/>
  <c r="AU56" i="2" s="1"/>
  <c r="M56" i="2"/>
  <c r="R56" i="2" s="1"/>
  <c r="AP55" i="2"/>
  <c r="AU55" i="2" s="1"/>
  <c r="M55" i="2"/>
  <c r="R55" i="2" s="1"/>
  <c r="M50" i="2"/>
  <c r="R50" i="2" s="1"/>
  <c r="L51" i="2" s="1"/>
  <c r="M49" i="2"/>
  <c r="R49" i="2" s="1"/>
  <c r="M48" i="2"/>
  <c r="R48" i="2" s="1"/>
  <c r="BC32" i="2"/>
  <c r="AX32" i="2"/>
  <c r="BA32" i="2" s="1"/>
  <c r="BC31" i="2"/>
  <c r="BA31" i="2"/>
  <c r="AX31" i="2"/>
  <c r="BC30" i="2"/>
  <c r="AX30" i="2"/>
  <c r="BA30" i="2" s="1"/>
  <c r="BC29" i="2"/>
  <c r="AX29" i="2"/>
  <c r="BA29" i="2" s="1"/>
  <c r="BC28" i="2"/>
  <c r="BA28" i="2"/>
  <c r="AX27" i="2"/>
  <c r="BA27" i="2" s="1"/>
  <c r="AX26" i="2"/>
  <c r="BA26" i="2" s="1"/>
  <c r="AI340" i="2"/>
  <c r="J346" i="2" s="1"/>
  <c r="BA25" i="2"/>
  <c r="AX25" i="2"/>
  <c r="AX24" i="2"/>
  <c r="BA24" i="2" s="1"/>
  <c r="BJ24" i="2" s="1"/>
  <c r="AX23" i="2"/>
  <c r="BA23" i="2" s="1"/>
  <c r="BJ23" i="2" s="1"/>
  <c r="AJ460" i="2"/>
  <c r="J462" i="2" s="1"/>
  <c r="AX22" i="2"/>
  <c r="BA22" i="2" s="1"/>
  <c r="BJ22" i="2" s="1"/>
  <c r="AI336" i="2"/>
  <c r="J342" i="2" s="1"/>
  <c r="AX21" i="2"/>
  <c r="BA21" i="2" s="1"/>
  <c r="BJ21" i="2" s="1"/>
  <c r="AI335" i="2"/>
  <c r="J341" i="2" s="1"/>
  <c r="AX20" i="2"/>
  <c r="BA20" i="2" s="1"/>
  <c r="BJ20" i="2" s="1"/>
  <c r="AJ457" i="2"/>
  <c r="J459" i="2" s="1"/>
  <c r="AX19" i="2"/>
  <c r="BA19" i="2" s="1"/>
  <c r="BJ19" i="2" s="1"/>
  <c r="AJ456" i="2"/>
  <c r="J458" i="2" s="1"/>
  <c r="AX18" i="2"/>
  <c r="BA18" i="2" s="1"/>
  <c r="BJ18" i="2" s="1"/>
  <c r="AJ455" i="2"/>
  <c r="J457" i="2" s="1"/>
  <c r="AX17" i="2"/>
  <c r="BA17" i="2" s="1"/>
  <c r="BJ17" i="2" s="1"/>
  <c r="AX16" i="2"/>
  <c r="BA16" i="2" s="1"/>
  <c r="BJ16" i="2" s="1"/>
  <c r="AJ453" i="2"/>
  <c r="J455" i="2" s="1"/>
  <c r="AX15" i="2"/>
  <c r="BA15" i="2" s="1"/>
  <c r="BJ15" i="2" s="1"/>
  <c r="AH15" i="2"/>
  <c r="H15" i="2"/>
  <c r="AJ452" i="2"/>
  <c r="J454" i="2" s="1"/>
  <c r="AX14" i="2"/>
  <c r="BA14" i="2" s="1"/>
  <c r="BJ14" i="2" s="1"/>
  <c r="AH14" i="2"/>
  <c r="D14" i="2"/>
  <c r="H14" i="2" s="1"/>
  <c r="P14" i="2" s="1"/>
  <c r="AI328" i="2"/>
  <c r="J334" i="2" s="1"/>
  <c r="AX13" i="2"/>
  <c r="BA13" i="2" s="1"/>
  <c r="BJ13" i="2" s="1"/>
  <c r="AH13" i="2"/>
  <c r="D13" i="2"/>
  <c r="H13" i="2" s="1"/>
  <c r="P13" i="2" s="1"/>
  <c r="AX12" i="2"/>
  <c r="BA12" i="2" s="1"/>
  <c r="BJ12" i="2" s="1"/>
  <c r="AH12" i="2"/>
  <c r="H12" i="2"/>
  <c r="AI326" i="2"/>
  <c r="J332" i="2" s="1"/>
  <c r="AX11" i="2"/>
  <c r="BA11" i="2" s="1"/>
  <c r="BJ11" i="2" s="1"/>
  <c r="AH11" i="2"/>
  <c r="H11" i="2"/>
  <c r="P11" i="2" s="1"/>
  <c r="AX10" i="2"/>
  <c r="BA10" i="2" s="1"/>
  <c r="BJ10" i="2" s="1"/>
  <c r="AJ447" i="2"/>
  <c r="J449" i="2" s="1"/>
  <c r="AX9" i="2"/>
  <c r="BA9" i="2" s="1"/>
  <c r="BJ9" i="2" s="1"/>
  <c r="AI323" i="2"/>
  <c r="J329" i="2" s="1"/>
  <c r="BA8" i="2"/>
  <c r="BJ8" i="2" s="1"/>
  <c r="AX8" i="2"/>
  <c r="AJ445" i="2"/>
  <c r="J447" i="2" s="1"/>
  <c r="AX7" i="2"/>
  <c r="BA7" i="2" s="1"/>
  <c r="BJ6" i="2"/>
  <c r="BD6" i="2" s="1"/>
  <c r="BE6" i="2" s="1"/>
  <c r="BA6" i="2"/>
  <c r="AK11" i="2" l="1"/>
  <c r="AD465" i="2"/>
  <c r="AG465" i="2" s="1"/>
  <c r="AG342" i="2"/>
  <c r="AG339" i="2"/>
  <c r="AD464" i="2"/>
  <c r="AG464" i="2" s="1"/>
  <c r="AG341" i="2"/>
  <c r="P107" i="2"/>
  <c r="AL356" i="2"/>
  <c r="AI342" i="2"/>
  <c r="J348" i="2" s="1"/>
  <c r="AJ465" i="2"/>
  <c r="J467" i="2" s="1"/>
  <c r="O467" i="2" s="1"/>
  <c r="AM356" i="2"/>
  <c r="AI341" i="2"/>
  <c r="J347" i="2" s="1"/>
  <c r="AJ464" i="2"/>
  <c r="J466" i="2" s="1"/>
  <c r="O466" i="2" s="1"/>
  <c r="AG329" i="2"/>
  <c r="U14" i="2"/>
  <c r="AD447" i="2"/>
  <c r="AQ321" i="2"/>
  <c r="G327" i="2" s="1"/>
  <c r="U109" i="2"/>
  <c r="AJ444" i="2"/>
  <c r="J446" i="2" s="1"/>
  <c r="AK12" i="2"/>
  <c r="AK15" i="2"/>
  <c r="K109" i="2"/>
  <c r="N109" i="2"/>
  <c r="P109" i="2" s="1"/>
  <c r="AL495" i="2"/>
  <c r="AM487" i="2"/>
  <c r="AL494" i="2"/>
  <c r="AG107" i="2"/>
  <c r="E339" i="2"/>
  <c r="U108" i="2"/>
  <c r="E357" i="2"/>
  <c r="AG330" i="2"/>
  <c r="E333" i="2"/>
  <c r="E345" i="2"/>
  <c r="AL357" i="2"/>
  <c r="AM495" i="2"/>
  <c r="E327" i="2"/>
  <c r="O198" i="2"/>
  <c r="AI330" i="2"/>
  <c r="J336" i="2" s="1"/>
  <c r="AG335" i="2"/>
  <c r="K108" i="2"/>
  <c r="AF119" i="2" s="1"/>
  <c r="AG333" i="2"/>
  <c r="AG336" i="2"/>
  <c r="O431" i="2"/>
  <c r="AG445" i="2"/>
  <c r="R108" i="2"/>
  <c r="AD108" i="2" s="1"/>
  <c r="AG108" i="2" s="1"/>
  <c r="AL128" i="2"/>
  <c r="W321" i="2"/>
  <c r="AG325" i="2"/>
  <c r="U11" i="2"/>
  <c r="E332" i="2"/>
  <c r="AD455" i="2"/>
  <c r="AG455" i="2" s="1"/>
  <c r="AJ446" i="2"/>
  <c r="J448" i="2" s="1"/>
  <c r="E344" i="2"/>
  <c r="D446" i="2"/>
  <c r="B447" i="2" s="1"/>
  <c r="D452" i="2"/>
  <c r="E452" i="2" s="1"/>
  <c r="E330" i="2"/>
  <c r="E338" i="2"/>
  <c r="AJ449" i="2"/>
  <c r="J451" i="2" s="1"/>
  <c r="BD18" i="2"/>
  <c r="BE18" i="2" s="1"/>
  <c r="AJ459" i="2"/>
  <c r="J461" i="2" s="1"/>
  <c r="D459" i="2"/>
  <c r="AG457" i="2"/>
  <c r="BD10" i="2"/>
  <c r="BE10" i="2" s="1"/>
  <c r="BD8" i="2"/>
  <c r="BE8" i="2" s="1"/>
  <c r="BD12" i="2"/>
  <c r="BE12" i="2" s="1"/>
  <c r="BJ27" i="2"/>
  <c r="BD27" i="2" s="1"/>
  <c r="BE27" i="2" s="1"/>
  <c r="BJ32" i="2"/>
  <c r="BD32" i="2" s="1"/>
  <c r="BE32" i="2" s="1"/>
  <c r="H112" i="2"/>
  <c r="B329" i="2"/>
  <c r="E329" i="2" s="1"/>
  <c r="E328" i="2"/>
  <c r="AL364" i="2"/>
  <c r="AM365" i="2"/>
  <c r="AL365" i="2"/>
  <c r="F479" i="2"/>
  <c r="K478" i="2"/>
  <c r="AG447" i="2"/>
  <c r="BD22" i="2"/>
  <c r="BE22" i="2" s="1"/>
  <c r="AG322" i="2"/>
  <c r="AK360" i="2"/>
  <c r="AI362" i="2"/>
  <c r="AJ362" i="2" s="1"/>
  <c r="AM361" i="2" s="1"/>
  <c r="N530" i="2"/>
  <c r="B536" i="2"/>
  <c r="BD19" i="2"/>
  <c r="BE19" i="2" s="1"/>
  <c r="BD23" i="2"/>
  <c r="BE23" i="2" s="1"/>
  <c r="BJ28" i="2"/>
  <c r="BD28" i="2" s="1"/>
  <c r="BE28" i="2" s="1"/>
  <c r="B343" i="2"/>
  <c r="E343" i="2" s="1"/>
  <c r="E342" i="2"/>
  <c r="U482" i="2"/>
  <c r="BJ7" i="2"/>
  <c r="BD7" i="2" s="1"/>
  <c r="BE7" i="2" s="1"/>
  <c r="BD15" i="2"/>
  <c r="BE15" i="2" s="1"/>
  <c r="AJ461" i="2"/>
  <c r="J463" i="2" s="1"/>
  <c r="AI338" i="2"/>
  <c r="J344" i="2" s="1"/>
  <c r="AD460" i="2"/>
  <c r="AG460" i="2" s="1"/>
  <c r="AG337" i="2"/>
  <c r="BJ31" i="2"/>
  <c r="BD31" i="2" s="1"/>
  <c r="BE31" i="2" s="1"/>
  <c r="AK13" i="2"/>
  <c r="BD24" i="2"/>
  <c r="BE24" i="2" s="1"/>
  <c r="J62" i="2"/>
  <c r="R110" i="2"/>
  <c r="AD110" i="2" s="1"/>
  <c r="AG110" i="2" s="1"/>
  <c r="N110" i="2"/>
  <c r="P110" i="2" s="1"/>
  <c r="K110" i="2"/>
  <c r="AK155" i="2"/>
  <c r="Q321" i="2" s="1"/>
  <c r="AK154" i="2"/>
  <c r="BD13" i="2"/>
  <c r="BE13" i="2" s="1"/>
  <c r="BD16" i="2"/>
  <c r="BE16" i="2" s="1"/>
  <c r="BJ29" i="2"/>
  <c r="BD29" i="2" s="1"/>
  <c r="BE29" i="2" s="1"/>
  <c r="J73" i="2"/>
  <c r="L79" i="2"/>
  <c r="B456" i="2"/>
  <c r="E455" i="2"/>
  <c r="BD11" i="2"/>
  <c r="BE11" i="2" s="1"/>
  <c r="AJ454" i="2"/>
  <c r="J456" i="2" s="1"/>
  <c r="AI331" i="2"/>
  <c r="J337" i="2" s="1"/>
  <c r="BD20" i="2"/>
  <c r="AG111" i="2"/>
  <c r="AD454" i="2"/>
  <c r="AG454" i="2" s="1"/>
  <c r="AG331" i="2"/>
  <c r="B341" i="2"/>
  <c r="E341" i="2" s="1"/>
  <c r="E340" i="2"/>
  <c r="AQ444" i="2"/>
  <c r="AG453" i="2"/>
  <c r="BD9" i="2"/>
  <c r="BE9" i="2" s="1"/>
  <c r="BJ25" i="2"/>
  <c r="BD25" i="2" s="1"/>
  <c r="BE25" i="2" s="1"/>
  <c r="BJ30" i="2"/>
  <c r="BD30" i="2" s="1"/>
  <c r="BE30" i="2" s="1"/>
  <c r="B454" i="2"/>
  <c r="E454" i="2" s="1"/>
  <c r="E453" i="2"/>
  <c r="P12" i="2"/>
  <c r="P16" i="2" s="1"/>
  <c r="H16" i="2"/>
  <c r="BD17" i="2"/>
  <c r="BE17" i="2" s="1"/>
  <c r="BD14" i="2"/>
  <c r="BE14" i="2" s="1"/>
  <c r="AK14" i="2"/>
  <c r="BD21" i="2"/>
  <c r="BE21" i="2" s="1"/>
  <c r="BJ26" i="2"/>
  <c r="BD26" i="2" s="1"/>
  <c r="BE26" i="2" s="1"/>
  <c r="B335" i="2"/>
  <c r="E335" i="2" s="1"/>
  <c r="E334" i="2"/>
  <c r="D456" i="2"/>
  <c r="AI322" i="2"/>
  <c r="J328" i="2" s="1"/>
  <c r="AK490" i="2"/>
  <c r="AI492" i="2"/>
  <c r="AJ492" i="2" s="1"/>
  <c r="AL491" i="2" s="1"/>
  <c r="AI337" i="2"/>
  <c r="J343" i="2" s="1"/>
  <c r="S426" i="2"/>
  <c r="K431" i="2" s="1"/>
  <c r="T431" i="2" s="1"/>
  <c r="L492" i="2" s="1"/>
  <c r="D449" i="2"/>
  <c r="AJ450" i="2"/>
  <c r="J452" i="2" s="1"/>
  <c r="AG451" i="2"/>
  <c r="F198" i="2"/>
  <c r="AI324" i="2"/>
  <c r="J330" i="2" s="1"/>
  <c r="AG338" i="2"/>
  <c r="E446" i="2"/>
  <c r="AG456" i="2"/>
  <c r="B458" i="2"/>
  <c r="AI332" i="2"/>
  <c r="J338" i="2" s="1"/>
  <c r="D458" i="2"/>
  <c r="U367" i="2"/>
  <c r="D450" i="2"/>
  <c r="AG459" i="2"/>
  <c r="D461" i="2"/>
  <c r="AI327" i="2"/>
  <c r="J333" i="2" s="1"/>
  <c r="AI333" i="2"/>
  <c r="J339" i="2" s="1"/>
  <c r="AI339" i="2"/>
  <c r="J345" i="2" s="1"/>
  <c r="D447" i="2"/>
  <c r="AJ451" i="2"/>
  <c r="J453" i="2" s="1"/>
  <c r="AG462" i="2"/>
  <c r="N108" i="2"/>
  <c r="P108" i="2" s="1"/>
  <c r="R109" i="2"/>
  <c r="AD109" i="2" s="1"/>
  <c r="AG109" i="2" s="1"/>
  <c r="AK321" i="2"/>
  <c r="AG323" i="2"/>
  <c r="E331" i="2"/>
  <c r="AG334" i="2"/>
  <c r="E337" i="2"/>
  <c r="AG340" i="2"/>
  <c r="AG448" i="2"/>
  <c r="H479" i="2"/>
  <c r="K99" i="2"/>
  <c r="AI334" i="2"/>
  <c r="J340" i="2" s="1"/>
  <c r="AJ448" i="2"/>
  <c r="J450" i="2" s="1"/>
  <c r="L479" i="2"/>
  <c r="U110" i="2"/>
  <c r="AJ458" i="2"/>
  <c r="J460" i="2" s="1"/>
  <c r="E463" i="2"/>
  <c r="B464" i="2"/>
  <c r="E464" i="2" s="1"/>
  <c r="AI329" i="2"/>
  <c r="J335" i="2" s="1"/>
  <c r="AQ326" i="2" l="1"/>
  <c r="AQ445" i="2"/>
  <c r="G447" i="2" s="1"/>
  <c r="AQ447" i="2"/>
  <c r="AQ459" i="2"/>
  <c r="G461" i="2" s="1"/>
  <c r="AQ448" i="2"/>
  <c r="AQ460" i="2"/>
  <c r="G462" i="2" s="1"/>
  <c r="AQ449" i="2"/>
  <c r="AQ461" i="2"/>
  <c r="AQ450" i="2"/>
  <c r="AQ462" i="2"/>
  <c r="G464" i="2" s="1"/>
  <c r="AQ452" i="2"/>
  <c r="AQ451" i="2"/>
  <c r="G453" i="2" s="1"/>
  <c r="AQ453" i="2"/>
  <c r="AQ457" i="2"/>
  <c r="AQ454" i="2"/>
  <c r="AQ458" i="2"/>
  <c r="AQ455" i="2"/>
  <c r="AQ456" i="2"/>
  <c r="G458" i="2" s="1"/>
  <c r="AK445" i="2"/>
  <c r="M447" i="2" s="1"/>
  <c r="AQ446" i="2"/>
  <c r="AQ330" i="2"/>
  <c r="AQ331" i="2"/>
  <c r="G337" i="2" s="1"/>
  <c r="AQ332" i="2"/>
  <c r="AQ325" i="2"/>
  <c r="AQ338" i="2"/>
  <c r="G344" i="2" s="1"/>
  <c r="AQ333" i="2"/>
  <c r="AQ327" i="2"/>
  <c r="AQ334" i="2"/>
  <c r="AK334" i="2" s="1"/>
  <c r="AQ341" i="2"/>
  <c r="AQ339" i="2"/>
  <c r="AQ335" i="2"/>
  <c r="G341" i="2" s="1"/>
  <c r="AQ323" i="2"/>
  <c r="G329" i="2" s="1"/>
  <c r="AQ324" i="2"/>
  <c r="AQ337" i="2"/>
  <c r="G343" i="2" s="1"/>
  <c r="AQ328" i="2"/>
  <c r="AQ336" i="2"/>
  <c r="AQ340" i="2"/>
  <c r="G346" i="2" s="1"/>
  <c r="AQ329" i="2"/>
  <c r="G335" i="2" s="1"/>
  <c r="AG112" i="2"/>
  <c r="AG113" i="2" s="1"/>
  <c r="AG114" i="2" s="1"/>
  <c r="AG115" i="2" s="1"/>
  <c r="R478" i="2"/>
  <c r="N440" i="2" s="1"/>
  <c r="U483" i="2" s="1"/>
  <c r="AK16" i="2"/>
  <c r="AK17" i="2" s="1"/>
  <c r="AK18" i="2" s="1"/>
  <c r="Y21" i="2" s="1"/>
  <c r="AQ344" i="2"/>
  <c r="AM491" i="2"/>
  <c r="P112" i="2"/>
  <c r="U116" i="2" s="1"/>
  <c r="AQ343" i="2"/>
  <c r="Y19" i="2"/>
  <c r="K19" i="2"/>
  <c r="K21" i="2"/>
  <c r="BE20" i="2"/>
  <c r="O369" i="2"/>
  <c r="L368" i="2"/>
  <c r="U366" i="2"/>
  <c r="U368" i="2" s="1"/>
  <c r="T321" i="2"/>
  <c r="E364" i="2" s="1"/>
  <c r="G449" i="2"/>
  <c r="G450" i="2"/>
  <c r="B460" i="2"/>
  <c r="E460" i="2" s="1"/>
  <c r="G459" i="2"/>
  <c r="G456" i="2"/>
  <c r="AK454" i="2"/>
  <c r="AQ467" i="2"/>
  <c r="AQ347" i="2"/>
  <c r="B457" i="2"/>
  <c r="E457" i="2" s="1"/>
  <c r="E456" i="2"/>
  <c r="AQ470" i="2"/>
  <c r="AQ342" i="2"/>
  <c r="B462" i="2"/>
  <c r="E462" i="2" s="1"/>
  <c r="E461" i="2"/>
  <c r="B450" i="2"/>
  <c r="E450" i="2" s="1"/>
  <c r="E449" i="2"/>
  <c r="G455" i="2"/>
  <c r="P178" i="2"/>
  <c r="R198" i="2" s="1"/>
  <c r="P223" i="2"/>
  <c r="R242" i="2" s="1"/>
  <c r="AM360" i="2"/>
  <c r="AL360" i="2"/>
  <c r="AK340" i="2"/>
  <c r="B459" i="2"/>
  <c r="E459" i="2" s="1"/>
  <c r="E458" i="2"/>
  <c r="AQ469" i="2"/>
  <c r="F200" i="2"/>
  <c r="S223" i="2"/>
  <c r="F244" i="2"/>
  <c r="S178" i="2"/>
  <c r="B451" i="2"/>
  <c r="E451" i="2" s="1"/>
  <c r="G446" i="2"/>
  <c r="AK444" i="2"/>
  <c r="AQ322" i="2"/>
  <c r="G328" i="2" s="1"/>
  <c r="AQ463" i="2"/>
  <c r="AK463" i="2" s="1"/>
  <c r="AN463" i="2" s="1"/>
  <c r="AQ468" i="2"/>
  <c r="O485" i="2"/>
  <c r="L484" i="2"/>
  <c r="AN445" i="2"/>
  <c r="AQ465" i="2"/>
  <c r="AK465" i="2" s="1"/>
  <c r="AN465" i="2" s="1"/>
  <c r="AL490" i="2"/>
  <c r="AM490" i="2"/>
  <c r="AQ464" i="2"/>
  <c r="AK464" i="2" s="1"/>
  <c r="AN464" i="2" s="1"/>
  <c r="B448" i="2"/>
  <c r="E448" i="2" s="1"/>
  <c r="E447" i="2"/>
  <c r="AQ345" i="2"/>
  <c r="AQ346" i="2"/>
  <c r="AQ466" i="2"/>
  <c r="AL361" i="2"/>
  <c r="AL321" i="2"/>
  <c r="M327" i="2"/>
  <c r="O327" i="2" s="1"/>
  <c r="AK342" i="2" l="1"/>
  <c r="G348" i="2"/>
  <c r="AK341" i="2"/>
  <c r="G347" i="2"/>
  <c r="AL340" i="2"/>
  <c r="M346" i="2"/>
  <c r="O346" i="2" s="1"/>
  <c r="AK337" i="2"/>
  <c r="AL337" i="2" s="1"/>
  <c r="AK335" i="2"/>
  <c r="G340" i="2"/>
  <c r="AK19" i="2"/>
  <c r="AJ117" i="2"/>
  <c r="AN117" i="2"/>
  <c r="U119" i="2" s="1"/>
  <c r="K116" i="2"/>
  <c r="T440" i="2"/>
  <c r="E471" i="2" s="1"/>
  <c r="AK453" i="2"/>
  <c r="AN453" i="2" s="1"/>
  <c r="G448" i="2"/>
  <c r="AK446" i="2"/>
  <c r="K471" i="2"/>
  <c r="L485" i="2"/>
  <c r="U484" i="2"/>
  <c r="AK459" i="2"/>
  <c r="M461" i="2" s="1"/>
  <c r="O461" i="2" s="1"/>
  <c r="G339" i="2"/>
  <c r="AK333" i="2"/>
  <c r="AK462" i="2"/>
  <c r="AN462" i="2" s="1"/>
  <c r="AK329" i="2"/>
  <c r="M335" i="2" s="1"/>
  <c r="O335" i="2" s="1"/>
  <c r="AK322" i="2"/>
  <c r="M328" i="2" s="1"/>
  <c r="O328" i="2" s="1"/>
  <c r="AK451" i="2"/>
  <c r="M453" i="2" s="1"/>
  <c r="O453" i="2" s="1"/>
  <c r="AK457" i="2"/>
  <c r="AN457" i="2" s="1"/>
  <c r="N238" i="2"/>
  <c r="V223" i="2"/>
  <c r="I242" i="2" s="1"/>
  <c r="AH120" i="2"/>
  <c r="AK120" i="2" s="1"/>
  <c r="AJ119" i="2" s="1"/>
  <c r="AL119" i="2" s="1"/>
  <c r="G334" i="2"/>
  <c r="AK328" i="2"/>
  <c r="AK447" i="2"/>
  <c r="G338" i="2"/>
  <c r="AK332" i="2"/>
  <c r="G330" i="2"/>
  <c r="AK324" i="2"/>
  <c r="G460" i="2"/>
  <c r="AK458" i="2"/>
  <c r="G333" i="2"/>
  <c r="AK327" i="2"/>
  <c r="G345" i="2"/>
  <c r="AK339" i="2"/>
  <c r="G454" i="2"/>
  <c r="AK452" i="2"/>
  <c r="AK323" i="2"/>
  <c r="G332" i="2"/>
  <c r="AK326" i="2"/>
  <c r="G342" i="2"/>
  <c r="AK336" i="2"/>
  <c r="AK460" i="2"/>
  <c r="B143" i="2"/>
  <c r="N195" i="2"/>
  <c r="M341" i="2"/>
  <c r="O341" i="2" s="1"/>
  <c r="AL335" i="2"/>
  <c r="G336" i="2"/>
  <c r="AK330" i="2"/>
  <c r="M446" i="2"/>
  <c r="O446" i="2" s="1"/>
  <c r="AN444" i="2"/>
  <c r="G457" i="2"/>
  <c r="AK455" i="2"/>
  <c r="G452" i="2"/>
  <c r="AK450" i="2"/>
  <c r="AK331" i="2"/>
  <c r="AK448" i="2"/>
  <c r="N193" i="2"/>
  <c r="V178" i="2"/>
  <c r="I198" i="2" s="1"/>
  <c r="AL334" i="2"/>
  <c r="M340" i="2"/>
  <c r="O340" i="2" s="1"/>
  <c r="G331" i="2"/>
  <c r="AK325" i="2"/>
  <c r="O447" i="2"/>
  <c r="G463" i="2"/>
  <c r="AK461" i="2"/>
  <c r="G451" i="2"/>
  <c r="AK449" i="2"/>
  <c r="M456" i="2"/>
  <c r="O456" i="2" s="1"/>
  <c r="AN454" i="2"/>
  <c r="AK456" i="2"/>
  <c r="AK338" i="2"/>
  <c r="AL341" i="2" l="1"/>
  <c r="M347" i="2"/>
  <c r="O347" i="2" s="1"/>
  <c r="AL342" i="2"/>
  <c r="M348" i="2"/>
  <c r="O348" i="2" s="1"/>
  <c r="M343" i="2"/>
  <c r="O343" i="2" s="1"/>
  <c r="M455" i="2"/>
  <c r="O455" i="2" s="1"/>
  <c r="K119" i="2"/>
  <c r="AL322" i="2"/>
  <c r="M464" i="2"/>
  <c r="O464" i="2" s="1"/>
  <c r="M448" i="2"/>
  <c r="O448" i="2" s="1"/>
  <c r="AN446" i="2"/>
  <c r="M459" i="2"/>
  <c r="O459" i="2" s="1"/>
  <c r="AN459" i="2"/>
  <c r="AN451" i="2"/>
  <c r="AL333" i="2"/>
  <c r="M339" i="2"/>
  <c r="O339" i="2" s="1"/>
  <c r="AL329" i="2"/>
  <c r="M454" i="2"/>
  <c r="O454" i="2" s="1"/>
  <c r="AN452" i="2"/>
  <c r="M457" i="2"/>
  <c r="O457" i="2" s="1"/>
  <c r="AN455" i="2"/>
  <c r="M345" i="2"/>
  <c r="O345" i="2" s="1"/>
  <c r="AL339" i="2"/>
  <c r="M460" i="2"/>
  <c r="O460" i="2" s="1"/>
  <c r="AN458" i="2"/>
  <c r="M331" i="2"/>
  <c r="O331" i="2" s="1"/>
  <c r="AL325" i="2"/>
  <c r="M449" i="2"/>
  <c r="O449" i="2" s="1"/>
  <c r="AN447" i="2"/>
  <c r="AL328" i="2"/>
  <c r="M334" i="2"/>
  <c r="O334" i="2" s="1"/>
  <c r="L143" i="2"/>
  <c r="F143" i="2" s="1"/>
  <c r="K198" i="2" s="1"/>
  <c r="M342" i="2"/>
  <c r="O342" i="2" s="1"/>
  <c r="AL336" i="2"/>
  <c r="AL327" i="2"/>
  <c r="M333" i="2"/>
  <c r="O333" i="2" s="1"/>
  <c r="M462" i="2"/>
  <c r="O462" i="2" s="1"/>
  <c r="AN460" i="2"/>
  <c r="AN449" i="2"/>
  <c r="M451" i="2"/>
  <c r="O451" i="2" s="1"/>
  <c r="M336" i="2"/>
  <c r="O336" i="2" s="1"/>
  <c r="AL330" i="2"/>
  <c r="M330" i="2"/>
  <c r="O330" i="2" s="1"/>
  <c r="AL324" i="2"/>
  <c r="B146" i="2"/>
  <c r="N240" i="2"/>
  <c r="AL122" i="2"/>
  <c r="M458" i="2"/>
  <c r="O458" i="2" s="1"/>
  <c r="AN456" i="2"/>
  <c r="AL326" i="2"/>
  <c r="M332" i="2"/>
  <c r="O332" i="2" s="1"/>
  <c r="AL338" i="2"/>
  <c r="M344" i="2"/>
  <c r="O344" i="2" s="1"/>
  <c r="AN461" i="2"/>
  <c r="M463" i="2"/>
  <c r="O463" i="2" s="1"/>
  <c r="AN448" i="2"/>
  <c r="M450" i="2"/>
  <c r="O450" i="2" s="1"/>
  <c r="AL332" i="2"/>
  <c r="M338" i="2"/>
  <c r="O338" i="2" s="1"/>
  <c r="M452" i="2"/>
  <c r="O452" i="2" s="1"/>
  <c r="AN450" i="2"/>
  <c r="M337" i="2"/>
  <c r="O337" i="2" s="1"/>
  <c r="AL331" i="2"/>
  <c r="AL323" i="2"/>
  <c r="M329" i="2"/>
  <c r="O329" i="2" s="1"/>
  <c r="O469" i="2" l="1"/>
  <c r="O352" i="2"/>
  <c r="N364" i="2" s="1"/>
  <c r="U364" i="2" s="1"/>
  <c r="S377" i="2" s="1"/>
  <c r="F543" i="2" s="1"/>
  <c r="F544" i="2" s="1"/>
  <c r="AN479" i="2"/>
  <c r="N471" i="2"/>
  <c r="V471" i="2" s="1"/>
  <c r="O492" i="2" s="1"/>
  <c r="R492" i="2" s="1"/>
  <c r="S498" i="2" s="1"/>
  <c r="N543" i="2" s="1"/>
  <c r="N544" i="2" s="1"/>
  <c r="X198" i="2"/>
  <c r="S143" i="2"/>
  <c r="M200" i="2" s="1"/>
  <c r="L146" i="2"/>
  <c r="F146" i="2" s="1"/>
  <c r="K242" i="2" s="1"/>
  <c r="AL348" i="2"/>
  <c r="F202" i="2" l="1"/>
  <c r="H204" i="2" s="1"/>
  <c r="H206" i="2" s="1"/>
  <c r="O206" i="2" s="1"/>
  <c r="S208" i="2" s="1"/>
  <c r="S210" i="2" s="1"/>
  <c r="S500" i="2"/>
  <c r="S379" i="2"/>
  <c r="S146" i="2"/>
  <c r="M244" i="2" s="1"/>
  <c r="X242" i="2"/>
  <c r="F246" i="2" s="1"/>
  <c r="H248" i="2" s="1"/>
  <c r="H250" i="2" s="1"/>
  <c r="O250" i="2" s="1"/>
  <c r="S252" i="2" s="1"/>
  <c r="F536" i="2" l="1"/>
  <c r="N536" i="2"/>
  <c r="S254" i="2"/>
  <c r="AL568" i="16" l="1"/>
  <c r="AK532" i="16" l="1"/>
  <c r="M532" i="16" s="1"/>
  <c r="O532" i="16" s="1"/>
  <c r="AK535" i="16"/>
  <c r="AK534" i="16"/>
  <c r="AK533" i="16"/>
  <c r="AK530" i="16"/>
  <c r="M530" i="16" s="1"/>
  <c r="AK531" i="16"/>
  <c r="AK528" i="16"/>
  <c r="M528" i="16" s="1"/>
  <c r="O528" i="16" s="1"/>
  <c r="AK527" i="16"/>
  <c r="M527" i="16" s="1"/>
  <c r="AK529" i="16"/>
  <c r="M529" i="16" s="1"/>
  <c r="AY532" i="16" l="1"/>
  <c r="AL532" i="16"/>
  <c r="M533" i="16"/>
  <c r="O533" i="16" s="1"/>
  <c r="AL533" i="16"/>
  <c r="AY533" i="16"/>
  <c r="M534" i="16"/>
  <c r="O534" i="16" s="1"/>
  <c r="AY534" i="16"/>
  <c r="AL534" i="16"/>
  <c r="M535" i="16"/>
  <c r="O535" i="16" s="1"/>
  <c r="AL535" i="16"/>
  <c r="AY535" i="16"/>
  <c r="M531" i="16"/>
  <c r="O531" i="16" s="1"/>
  <c r="AY531" i="16"/>
  <c r="AL531" i="16"/>
  <c r="AL528" i="16"/>
  <c r="AY528" i="16"/>
  <c r="O458" i="16"/>
  <c r="AL458" i="16"/>
  <c r="O460" i="16"/>
  <c r="AL460" i="16"/>
  <c r="AL459" i="16"/>
  <c r="O459" i="16"/>
  <c r="AL527" i="16"/>
  <c r="AY527" i="16"/>
  <c r="O527" i="16"/>
  <c r="AL529" i="16"/>
  <c r="O529" i="16"/>
  <c r="AY529" i="16"/>
  <c r="O530" i="16"/>
  <c r="AY530" i="16"/>
  <c r="AL530" i="16"/>
  <c r="AY557" i="16" l="1"/>
  <c r="P598" i="16" s="1"/>
  <c r="W598" i="16" s="1"/>
  <c r="O615" i="16" s="1"/>
  <c r="W615" i="16" s="1"/>
  <c r="K621" i="16" s="1"/>
  <c r="AL485" i="16"/>
  <c r="O483" i="16"/>
  <c r="N487" i="16" s="1"/>
  <c r="U487" i="16" s="1"/>
  <c r="O554" i="16"/>
  <c r="N556" i="16" s="1"/>
  <c r="V556" i="16" s="1"/>
  <c r="AL557" i="16"/>
  <c r="AI558" i="16" s="1"/>
  <c r="H649" i="16" l="1"/>
  <c r="H650" i="16" s="1"/>
  <c r="S496" i="16"/>
  <c r="O590" i="16"/>
  <c r="W590" i="16" s="1"/>
  <c r="G621" i="16" s="1"/>
  <c r="O621" i="16" s="1"/>
  <c r="S498" i="16" l="1"/>
  <c r="AJ1" i="16"/>
  <c r="W621" i="16"/>
  <c r="S625" i="16"/>
  <c r="P649" i="16" l="1"/>
  <c r="P650" i="16" s="1"/>
  <c r="AL1" i="16"/>
  <c r="S6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김형곤</author>
  </authors>
  <commentList>
    <comment ref="E85" authorId="0" shapeId="0" xr:uid="{C804C2F6-4924-4F27-B100-4DE52821E754}">
      <text>
        <r>
          <rPr>
            <b/>
            <sz val="9"/>
            <color indexed="81"/>
            <rFont val="돋움"/>
            <family val="3"/>
            <charset val="129"/>
          </rPr>
          <t>김형곤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김형곤</author>
  </authors>
  <commentList>
    <comment ref="E85" authorId="0" shapeId="0" xr:uid="{B6BEEFE5-297A-42AD-A319-A663B11028E9}">
      <text>
        <r>
          <rPr>
            <b/>
            <sz val="9"/>
            <color indexed="81"/>
            <rFont val="돋움"/>
            <family val="3"/>
            <charset val="129"/>
          </rPr>
          <t>김형곤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<sst xmlns="http://schemas.openxmlformats.org/spreadsheetml/2006/main" count="5140" uniqueCount="892">
  <si>
    <t>▶</t>
    <phoneticPr fontId="5" type="noConversion"/>
  </si>
  <si>
    <t>1.구조물 기초 일반조건</t>
    <phoneticPr fontId="5" type="noConversion"/>
  </si>
  <si>
    <t>①</t>
    <phoneticPr fontId="5" type="noConversion"/>
  </si>
  <si>
    <t>도면을 참조하여 시추공번호, 기초폭, 길이, 근입깊이, 설계하중, 지하수위를 기입한다 (B5~X5)</t>
    <phoneticPr fontId="5" type="noConversion"/>
  </si>
  <si>
    <t>검토단면</t>
  </si>
  <si>
    <t>기초형상</t>
  </si>
  <si>
    <t>근입깊이</t>
  </si>
  <si>
    <t>하중조건</t>
  </si>
  <si>
    <r>
      <t>지하수</t>
    </r>
    <r>
      <rPr>
        <b/>
        <sz val="9"/>
        <color theme="1"/>
        <rFont val="새굴림"/>
        <family val="3"/>
        <charset val="129"/>
      </rPr>
      <t>위</t>
    </r>
    <phoneticPr fontId="5" type="noConversion"/>
  </si>
  <si>
    <t>②</t>
    <phoneticPr fontId="5" type="noConversion"/>
  </si>
  <si>
    <t>지반조사서의 지반 층의 구별대로 토층 및 깊이를 기입한다. (D11~F15)</t>
    <phoneticPr fontId="5" type="noConversion"/>
  </si>
  <si>
    <t>N치-주상도 입력</t>
    <phoneticPr fontId="19" type="noConversion"/>
  </si>
  <si>
    <t>B(m)</t>
  </si>
  <si>
    <t>L(m)</t>
  </si>
  <si>
    <t>m</t>
    <phoneticPr fontId="5" type="noConversion"/>
  </si>
  <si>
    <t>KN/㎡</t>
    <phoneticPr fontId="5" type="noConversion"/>
  </si>
  <si>
    <t>m</t>
  </si>
  <si>
    <t>③</t>
    <phoneticPr fontId="5" type="noConversion"/>
  </si>
  <si>
    <t>N치를 고려하여 토층의 단위중량을 기입한다 (K11~K15)</t>
    <phoneticPr fontId="5" type="noConversion"/>
  </si>
  <si>
    <t>길   이 (m)</t>
    <phoneticPr fontId="19" type="noConversion"/>
  </si>
  <si>
    <t>△Z (m)</t>
    <phoneticPr fontId="19" type="noConversion"/>
  </si>
  <si>
    <r>
      <t xml:space="preserve">E </t>
    </r>
    <r>
      <rPr>
        <vertAlign val="subscript"/>
        <sz val="9.5"/>
        <rFont val="가는각진제목체"/>
        <family val="1"/>
        <charset val="129"/>
      </rPr>
      <t>s</t>
    </r>
    <phoneticPr fontId="19" type="noConversion"/>
  </si>
  <si>
    <r>
      <t xml:space="preserve">평균  I </t>
    </r>
    <r>
      <rPr>
        <vertAlign val="subscript"/>
        <sz val="9.5"/>
        <rFont val="가는각진제목체"/>
        <family val="1"/>
        <charset val="129"/>
      </rPr>
      <t>z</t>
    </r>
    <phoneticPr fontId="19" type="noConversion"/>
  </si>
  <si>
    <r>
      <t xml:space="preserve">I </t>
    </r>
    <r>
      <rPr>
        <vertAlign val="subscript"/>
        <sz val="9.5"/>
        <rFont val="가는각진제목체"/>
        <family val="1"/>
        <charset val="129"/>
      </rPr>
      <t>z</t>
    </r>
    <phoneticPr fontId="19" type="noConversion"/>
  </si>
  <si>
    <t>ㆍ△Z</t>
    <phoneticPr fontId="19" type="noConversion"/>
  </si>
  <si>
    <t>Zp
(m)</t>
    <phoneticPr fontId="26" type="noConversion"/>
  </si>
  <si>
    <t>심도</t>
    <phoneticPr fontId="26" type="noConversion"/>
  </si>
  <si>
    <t>N치</t>
    <phoneticPr fontId="26" type="noConversion"/>
  </si>
  <si>
    <t>④</t>
    <phoneticPr fontId="5" type="noConversion"/>
  </si>
  <si>
    <t>N치를 기반으로 아래 개략산출식으로 점착력 및 내부마찰각을 산출하여 보수적으로 기입한다. (N11~N15, R11~R15)</t>
    <phoneticPr fontId="5" type="noConversion"/>
  </si>
  <si>
    <r>
      <t>(tf/m</t>
    </r>
    <r>
      <rPr>
        <vertAlign val="superscript"/>
        <sz val="9.5"/>
        <rFont val="가는각진제목체"/>
        <family val="1"/>
        <charset val="129"/>
      </rPr>
      <t>2</t>
    </r>
    <r>
      <rPr>
        <sz val="9.5"/>
        <rFont val="가는각진제목체"/>
        <family val="1"/>
        <charset val="129"/>
      </rPr>
      <t>)</t>
    </r>
    <phoneticPr fontId="19" type="noConversion"/>
  </si>
  <si>
    <r>
      <t>E</t>
    </r>
    <r>
      <rPr>
        <vertAlign val="subscript"/>
        <sz val="9.5"/>
        <rFont val="가는각진제목체"/>
        <family val="1"/>
        <charset val="129"/>
      </rPr>
      <t>s</t>
    </r>
    <phoneticPr fontId="19" type="noConversion"/>
  </si>
  <si>
    <r>
      <t>E</t>
    </r>
    <r>
      <rPr>
        <vertAlign val="subscript"/>
        <sz val="9.5"/>
        <rFont val="가는각진제목체"/>
        <family val="1"/>
        <charset val="129"/>
      </rPr>
      <t>s</t>
    </r>
    <r>
      <rPr>
        <sz val="9.5"/>
        <rFont val="새굴림"/>
        <family val="1"/>
        <charset val="129"/>
      </rPr>
      <t>'</t>
    </r>
    <phoneticPr fontId="19" type="noConversion"/>
  </si>
  <si>
    <t>⑤</t>
    <phoneticPr fontId="5" type="noConversion"/>
  </si>
  <si>
    <t>주상도를 보고 옆의 표에서 깊이별 N치를 기입(BN행)한다.</t>
    <phoneticPr fontId="5" type="noConversion"/>
  </si>
  <si>
    <t>~</t>
    <phoneticPr fontId="5" type="noConversion"/>
  </si>
  <si>
    <t>▶</t>
  </si>
  <si>
    <t>현장 시험 결과와 탄성 계수 (Es, qc는 Kpa 단위임. 1Kpa=0.1tf/㎡)</t>
    <phoneticPr fontId="26" type="noConversion"/>
  </si>
  <si>
    <t>⑥</t>
    <phoneticPr fontId="5" type="noConversion"/>
  </si>
  <si>
    <t>입력한 N치를 대입하여 적정 공식을 이용하여 변형계수를 산출한다. (BC행)</t>
    <phoneticPr fontId="5" type="noConversion"/>
  </si>
  <si>
    <t>흙의 종류</t>
    <phoneticPr fontId="26" type="noConversion"/>
  </si>
  <si>
    <t>S.P.T</t>
    <phoneticPr fontId="26" type="noConversion"/>
  </si>
  <si>
    <t>C.P.T</t>
    <phoneticPr fontId="26" type="noConversion"/>
  </si>
  <si>
    <t>2.원지반 대표상수</t>
    <phoneticPr fontId="26" type="noConversion"/>
  </si>
  <si>
    <t>⑦</t>
    <phoneticPr fontId="5" type="noConversion"/>
  </si>
  <si>
    <t xml:space="preserve">2. 원지반 대표상수의 변형계수 값을 기입한다.(U11~U15) </t>
    <phoneticPr fontId="5" type="noConversion"/>
  </si>
  <si>
    <t>모        래</t>
    <phoneticPr fontId="26" type="noConversion"/>
  </si>
  <si>
    <t xml:space="preserve">   Es = 766N</t>
    <phoneticPr fontId="26" type="noConversion"/>
  </si>
  <si>
    <t>토층</t>
  </si>
  <si>
    <t>두께</t>
    <phoneticPr fontId="5" type="noConversion"/>
  </si>
  <si>
    <t>평균두께</t>
    <phoneticPr fontId="5" type="noConversion"/>
  </si>
  <si>
    <t>단위중량</t>
    <phoneticPr fontId="5" type="noConversion"/>
  </si>
  <si>
    <t>점착력</t>
    <phoneticPr fontId="5" type="noConversion"/>
  </si>
  <si>
    <t>점착력
가중
평균</t>
    <phoneticPr fontId="5" type="noConversion"/>
  </si>
  <si>
    <t>내부마찰각</t>
    <phoneticPr fontId="5" type="noConversion"/>
  </si>
  <si>
    <t>변형계수</t>
    <phoneticPr fontId="5" type="noConversion"/>
  </si>
  <si>
    <t>비고</t>
    <phoneticPr fontId="5" type="noConversion"/>
  </si>
  <si>
    <t>radian</t>
    <phoneticPr fontId="5" type="noConversion"/>
  </si>
  <si>
    <t>마찰각
가중</t>
    <phoneticPr fontId="5" type="noConversion"/>
  </si>
  <si>
    <t xml:space="preserve">   Es = 500( N + 15 )</t>
    <phoneticPr fontId="26" type="noConversion"/>
  </si>
  <si>
    <t xml:space="preserve">     Es = ( 2 ~ 4)qc</t>
    <phoneticPr fontId="26" type="noConversion"/>
  </si>
  <si>
    <t>°</t>
    <phoneticPr fontId="5" type="noConversion"/>
  </si>
  <si>
    <t xml:space="preserve">   Es = 18,000 + 750N</t>
    <phoneticPr fontId="26" type="noConversion"/>
  </si>
  <si>
    <t xml:space="preserve">     Es = 2( 1 + Dr2 )qc</t>
    <phoneticPr fontId="26" type="noConversion"/>
  </si>
  <si>
    <t>Es = (15,200 ~ 22,000)lnN</t>
    <phoneticPr fontId="26" type="noConversion"/>
  </si>
  <si>
    <t>점토질 모래</t>
    <phoneticPr fontId="26" type="noConversion"/>
  </si>
  <si>
    <t xml:space="preserve">   Es = 320( N + 15 )</t>
    <phoneticPr fontId="26" type="noConversion"/>
  </si>
  <si>
    <t xml:space="preserve">     Es = ( 3 ~ 6 )6qc</t>
    <phoneticPr fontId="26" type="noConversion"/>
  </si>
  <si>
    <t>실트질 모래</t>
    <phoneticPr fontId="26" type="noConversion"/>
  </si>
  <si>
    <t xml:space="preserve">   Es = 300( N + 6 )</t>
    <phoneticPr fontId="26" type="noConversion"/>
  </si>
  <si>
    <t xml:space="preserve">     Es = 1에서 Pc</t>
    <phoneticPr fontId="26" type="noConversion"/>
  </si>
  <si>
    <t>풍화토</t>
    <phoneticPr fontId="5" type="noConversion"/>
  </si>
  <si>
    <t>자갈섞인 모래</t>
    <phoneticPr fontId="26" type="noConversion"/>
  </si>
  <si>
    <t xml:space="preserve">   Es = 1,200( N + 6 )</t>
    <phoneticPr fontId="26" type="noConversion"/>
  </si>
  <si>
    <t>풍화암</t>
    <phoneticPr fontId="5" type="noConversion"/>
  </si>
  <si>
    <t>연약 점토</t>
    <phoneticPr fontId="26" type="noConversion"/>
  </si>
  <si>
    <t xml:space="preserve">     Es = ( 6 ~ 8 )qc</t>
    <phoneticPr fontId="26" type="noConversion"/>
  </si>
  <si>
    <t>합계</t>
    <phoneticPr fontId="5" type="noConversion"/>
  </si>
  <si>
    <t>점        토</t>
    <phoneticPr fontId="26" type="noConversion"/>
  </si>
  <si>
    <t>Ip &gt; 30, 또는 유기질</t>
    <phoneticPr fontId="26" type="noConversion"/>
  </si>
  <si>
    <t xml:space="preserve">     Es = ( 100 ~ 500 )Su</t>
    <phoneticPr fontId="26" type="noConversion"/>
  </si>
  <si>
    <t>마찰각(rad)</t>
    <phoneticPr fontId="5" type="noConversion"/>
  </si>
  <si>
    <t>Ip = ( 2 ~ 4 )qc</t>
    <phoneticPr fontId="26" type="noConversion"/>
  </si>
  <si>
    <t>Es = ( 500 ~ 1,500 )Su</t>
    <phoneticPr fontId="26" type="noConversion"/>
  </si>
  <si>
    <t>가중평균마찰각(rad)</t>
    <phoneticPr fontId="5" type="noConversion"/>
  </si>
  <si>
    <t>(Su:비배수전단강도)</t>
    <phoneticPr fontId="26" type="noConversion"/>
  </si>
  <si>
    <t>1 &lt; O.C.R &lt; 2</t>
    <phoneticPr fontId="26" type="noConversion"/>
  </si>
  <si>
    <t xml:space="preserve">     Es = (800 ~ 1,200)Su</t>
    <phoneticPr fontId="26" type="noConversion"/>
  </si>
  <si>
    <t>점착력 가중평균</t>
    <phoneticPr fontId="5" type="noConversion"/>
  </si>
  <si>
    <t xml:space="preserve"> = </t>
    <phoneticPr fontId="5" type="noConversion"/>
  </si>
  <si>
    <t>=</t>
    <phoneticPr fontId="5" type="noConversion"/>
  </si>
  <si>
    <t>가중평균마찰각(degree)</t>
    <phoneticPr fontId="5" type="noConversion"/>
  </si>
  <si>
    <t xml:space="preserve">     O.C.R &gt; 2</t>
    <phoneticPr fontId="26" type="noConversion"/>
  </si>
  <si>
    <t>Es = (1,500 ~ 2,000)Su</t>
    <phoneticPr fontId="26" type="noConversion"/>
  </si>
  <si>
    <t>내부마찰각 가중평균</t>
  </si>
  <si>
    <t>(DEGREE)</t>
    <phoneticPr fontId="5" type="noConversion"/>
  </si>
  <si>
    <t>~</t>
  </si>
  <si>
    <t>∑</t>
    <phoneticPr fontId="19" type="noConversion"/>
  </si>
  <si>
    <t>3. 강도전수 산정</t>
    <phoneticPr fontId="5" type="noConversion"/>
  </si>
  <si>
    <t>1)</t>
    <phoneticPr fontId="51" type="noConversion"/>
  </si>
  <si>
    <t>지반의 점착력</t>
    <phoneticPr fontId="51" type="noConversion"/>
  </si>
  <si>
    <t>*</t>
    <phoneticPr fontId="51" type="noConversion"/>
  </si>
  <si>
    <t>기초 하부의 N 값</t>
    <phoneticPr fontId="51" type="noConversion"/>
  </si>
  <si>
    <t>:</t>
    <phoneticPr fontId="51" type="noConversion"/>
  </si>
  <si>
    <t>( N &lt; 30 )</t>
    <phoneticPr fontId="5" type="noConversion"/>
  </si>
  <si>
    <t>C=qu/2</t>
    <phoneticPr fontId="51" type="noConversion"/>
  </si>
  <si>
    <t>Ø=0</t>
    <phoneticPr fontId="51" type="noConversion"/>
  </si>
  <si>
    <t>-</t>
    <phoneticPr fontId="51" type="noConversion"/>
  </si>
  <si>
    <t>Dunham</t>
    <phoneticPr fontId="51" type="noConversion"/>
  </si>
  <si>
    <t>qu=N/0.75</t>
    <phoneticPr fontId="51" type="noConversion"/>
  </si>
  <si>
    <t>=</t>
    <phoneticPr fontId="51" type="noConversion"/>
  </si>
  <si>
    <t>C =</t>
    <phoneticPr fontId="5" type="noConversion"/>
  </si>
  <si>
    <t>Terzaghi-Peck</t>
    <phoneticPr fontId="51" type="noConversion"/>
  </si>
  <si>
    <t>qu=N/0.82</t>
    <phoneticPr fontId="51" type="noConversion"/>
  </si>
  <si>
    <t>Oshaki</t>
    <phoneticPr fontId="51" type="noConversion"/>
  </si>
  <si>
    <t>qu=4+N/2</t>
    <phoneticPr fontId="51" type="noConversion"/>
  </si>
  <si>
    <t>N &lt; 30 점토의 점착력</t>
    <phoneticPr fontId="51" type="noConversion"/>
  </si>
  <si>
    <t>kN/m2</t>
  </si>
  <si>
    <t>2)</t>
    <phoneticPr fontId="51" type="noConversion"/>
  </si>
  <si>
    <t>지반의 내부마찰각</t>
    <phoneticPr fontId="51" type="noConversion"/>
  </si>
  <si>
    <t>기초하부의 내부 마찰각</t>
    <phoneticPr fontId="51" type="noConversion"/>
  </si>
  <si>
    <t>DEG</t>
    <phoneticPr fontId="51" type="noConversion"/>
  </si>
  <si>
    <t>Ø=√(12N+20)</t>
    <phoneticPr fontId="51" type="noConversion"/>
  </si>
  <si>
    <t>Meyerhof</t>
    <phoneticPr fontId="51" type="noConversion"/>
  </si>
  <si>
    <t>Ø=0.25N+32.5</t>
    <phoneticPr fontId="51" type="noConversion"/>
  </si>
  <si>
    <t>Peck</t>
    <phoneticPr fontId="51" type="noConversion"/>
  </si>
  <si>
    <t>Ø=0.3N+27</t>
    <phoneticPr fontId="51" type="noConversion"/>
  </si>
  <si>
    <t>Ø=√(20N+15)</t>
    <phoneticPr fontId="51" type="noConversion"/>
  </si>
  <si>
    <t>도로교시방서</t>
    <phoneticPr fontId="51" type="noConversion"/>
  </si>
  <si>
    <t>Ø=√(15N+15)</t>
    <phoneticPr fontId="51" type="noConversion"/>
  </si>
  <si>
    <t>N &lt; 30 점토의  내부마찰각</t>
    <phoneticPr fontId="51" type="noConversion"/>
  </si>
  <si>
    <t>︒</t>
    <phoneticPr fontId="5" type="noConversion"/>
  </si>
  <si>
    <t>( N &gt; 30 )</t>
    <phoneticPr fontId="5" type="noConversion"/>
  </si>
  <si>
    <t>N &lt; 30 점토질자갈의  내부마찰각</t>
    <phoneticPr fontId="51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</si>
  <si>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</t>
    </r>
    <r>
      <rPr>
        <sz val="11"/>
        <color rgb="FFFF0000"/>
        <rFont val="맑은 고딕"/>
        <family val="3"/>
        <charset val="129"/>
        <scheme val="minor"/>
      </rPr>
      <t xml:space="preserve"> 27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</si>
  <si>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N &lt; 30 클링커의  내부마찰각</t>
    <phoneticPr fontId="51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</si>
  <si>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</t>
    </r>
    <r>
      <rPr>
        <sz val="11"/>
        <color rgb="FFFF0000"/>
        <rFont val="맑은 고딕"/>
        <family val="3"/>
        <charset val="129"/>
        <scheme val="minor"/>
      </rPr>
      <t xml:space="preserve"> 30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</si>
  <si>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3)</t>
    <phoneticPr fontId="5" type="noConversion"/>
  </si>
  <si>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  <scheme val="minor"/>
      </rPr>
      <t xml:space="preserve"> =40</t>
    </r>
    <r>
      <rPr>
        <sz val="11"/>
        <color theme="1"/>
        <rFont val="맑은 고딕"/>
        <family val="3"/>
        <charset val="129"/>
      </rPr>
      <t>︒</t>
    </r>
    <r>
      <rPr>
        <sz val="11"/>
        <color theme="1"/>
        <rFont val="맑은 고딕"/>
        <family val="3"/>
        <charset val="129"/>
        <scheme val="minor"/>
      </rPr>
      <t xml:space="preserve"> 으로 산입</t>
    </r>
    <phoneticPr fontId="5" type="noConversion"/>
  </si>
  <si>
    <r>
      <t xml:space="preserve">(다짐이 덜된 혼합된 깬지갈의 일반적인 내부마찰각 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</rPr>
      <t>=40︒</t>
    </r>
    <r>
      <rPr>
        <sz val="11"/>
        <color theme="1"/>
        <rFont val="맑은 고딕"/>
        <family val="3"/>
        <charset val="129"/>
        <scheme val="minor"/>
      </rPr>
      <t>)</t>
    </r>
    <phoneticPr fontId="5" type="noConversion"/>
  </si>
  <si>
    <t xml:space="preserve">4) </t>
    <phoneticPr fontId="5" type="noConversion"/>
  </si>
  <si>
    <t>각 지층의 변형계수 (Es)</t>
    <phoneticPr fontId="5" type="noConversion"/>
  </si>
  <si>
    <t>Schmertmann 제안식</t>
    <phoneticPr fontId="5" type="noConversion"/>
  </si>
  <si>
    <t>구분</t>
    <phoneticPr fontId="5" type="noConversion"/>
  </si>
  <si>
    <t>실트/모래질 실트</t>
    <phoneticPr fontId="5" type="noConversion"/>
  </si>
  <si>
    <t>세립/중립질 모래</t>
    <phoneticPr fontId="5" type="noConversion"/>
  </si>
  <si>
    <t>조립질모래</t>
    <phoneticPr fontId="5" type="noConversion"/>
  </si>
  <si>
    <t>자갈질 모래/자갈</t>
    <phoneticPr fontId="5" type="noConversion"/>
  </si>
  <si>
    <t>Em(Mpa)</t>
    <phoneticPr fontId="5" type="noConversion"/>
  </si>
  <si>
    <t>0.4 * N</t>
    <phoneticPr fontId="5" type="noConversion"/>
  </si>
  <si>
    <t>0.7 * N</t>
    <phoneticPr fontId="5" type="noConversion"/>
  </si>
  <si>
    <t>1.0 * N</t>
    <phoneticPr fontId="5" type="noConversion"/>
  </si>
  <si>
    <t>(1.2 ~ 1.5) * N</t>
    <phoneticPr fontId="5" type="noConversion"/>
  </si>
  <si>
    <t>점토층 적용</t>
    <phoneticPr fontId="5" type="noConversion"/>
  </si>
  <si>
    <t>풍화암적용</t>
    <phoneticPr fontId="5" type="noConversion"/>
  </si>
  <si>
    <t>1)</t>
    <phoneticPr fontId="5" type="noConversion"/>
  </si>
  <si>
    <t>퍼즐쏘일 시공계획</t>
    <phoneticPr fontId="5" type="noConversion"/>
  </si>
  <si>
    <t>기초폭(B)</t>
    <phoneticPr fontId="5" type="noConversion"/>
  </si>
  <si>
    <t>기초길이(L)</t>
    <phoneticPr fontId="5" type="noConversion"/>
  </si>
  <si>
    <t>근입 깊이(m)</t>
    <phoneticPr fontId="5" type="noConversion"/>
  </si>
  <si>
    <t>설계하중(Kpa)</t>
    <phoneticPr fontId="5" type="noConversion"/>
  </si>
  <si>
    <t>퍼즐쏘일두께(mm)</t>
    <phoneticPr fontId="5" type="noConversion"/>
  </si>
  <si>
    <t>PET MAT 시공</t>
    <phoneticPr fontId="5" type="noConversion"/>
  </si>
  <si>
    <t>⑧</t>
    <phoneticPr fontId="5" type="noConversion"/>
  </si>
  <si>
    <t>퍼즐쏘일의 두께 및 메트 겹수를 기입한다</t>
    <phoneticPr fontId="5" type="noConversion"/>
  </si>
  <si>
    <t>한계깊이 Hf =</t>
    <phoneticPr fontId="5" type="noConversion"/>
  </si>
  <si>
    <t>2)</t>
    <phoneticPr fontId="5" type="noConversion"/>
  </si>
  <si>
    <t>보강지반 대표상수</t>
    <phoneticPr fontId="26" type="noConversion"/>
  </si>
  <si>
    <t>⑨</t>
    <phoneticPr fontId="5" type="noConversion"/>
  </si>
  <si>
    <t>α 값을 구하고 Hf / B 값을 구하여 한계깊이 Hf를 구한다.</t>
    <phoneticPr fontId="5" type="noConversion"/>
  </si>
  <si>
    <t>⑩</t>
    <phoneticPr fontId="5" type="noConversion"/>
  </si>
  <si>
    <t>한계깊이까지 토증을 전개하여 가중평균점착력과가중평균내부마찰각을 구한다.</t>
    <phoneticPr fontId="5" type="noConversion"/>
  </si>
  <si>
    <t>비 고</t>
    <phoneticPr fontId="5" type="noConversion"/>
  </si>
  <si>
    <t>퍼즐쏘일</t>
    <phoneticPr fontId="5" type="noConversion"/>
  </si>
  <si>
    <t>평균마찰각(rad)</t>
    <phoneticPr fontId="5" type="noConversion"/>
  </si>
  <si>
    <t>평균마찰각(degree)</t>
    <phoneticPr fontId="5" type="noConversion"/>
  </si>
  <si>
    <r>
      <t>점착력 가중평균(C</t>
    </r>
    <r>
      <rPr>
        <vertAlign val="subscript"/>
        <sz val="11"/>
        <color theme="1"/>
        <rFont val="돋움"/>
        <family val="3"/>
        <charset val="129"/>
      </rPr>
      <t>)</t>
    </r>
    <phoneticPr fontId="5" type="noConversion"/>
  </si>
  <si>
    <t>내부마찰각 가중평균</t>
    <phoneticPr fontId="5" type="noConversion"/>
  </si>
  <si>
    <t>(RADIAN)</t>
    <phoneticPr fontId="5" type="noConversion"/>
  </si>
  <si>
    <t>rB/2C2=</t>
    <phoneticPr fontId="5" type="noConversion"/>
  </si>
  <si>
    <t>x</t>
    <phoneticPr fontId="5" type="noConversion"/>
  </si>
  <si>
    <t>/</t>
    <phoneticPr fontId="5" type="noConversion"/>
  </si>
  <si>
    <t>r</t>
    <phoneticPr fontId="5" type="noConversion"/>
  </si>
  <si>
    <t>2C2=</t>
    <phoneticPr fontId="5" type="noConversion"/>
  </si>
  <si>
    <t>B</t>
    <phoneticPr fontId="5" type="noConversion"/>
  </si>
  <si>
    <t>기초폭</t>
    <phoneticPr fontId="5" type="noConversion"/>
  </si>
  <si>
    <t>C2</t>
    <phoneticPr fontId="5" type="noConversion"/>
  </si>
  <si>
    <t>하부지반 점착력</t>
    <phoneticPr fontId="5" type="noConversion"/>
  </si>
  <si>
    <r>
      <t>가중평균내부마찰각(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</rPr>
      <t>) =</t>
    </r>
    <phoneticPr fontId="5" type="noConversion"/>
  </si>
  <si>
    <t xml:space="preserve">α = </t>
    <phoneticPr fontId="5" type="noConversion"/>
  </si>
  <si>
    <r>
      <t>H</t>
    </r>
    <r>
      <rPr>
        <vertAlign val="subscript"/>
        <sz val="11"/>
        <rFont val="돋움"/>
        <family val="3"/>
        <charset val="129"/>
      </rPr>
      <t>f</t>
    </r>
    <r>
      <rPr>
        <sz val="11"/>
        <rFont val="돋움"/>
        <family val="3"/>
        <charset val="129"/>
      </rPr>
      <t xml:space="preserve"> / B =</t>
    </r>
    <phoneticPr fontId="5" type="noConversion"/>
  </si>
  <si>
    <r>
      <t>한계깊이(H</t>
    </r>
    <r>
      <rPr>
        <vertAlign val="subscript"/>
        <sz val="11"/>
        <rFont val="돋움"/>
        <family val="3"/>
        <charset val="129"/>
      </rPr>
      <t>f</t>
    </r>
    <r>
      <rPr>
        <sz val="11"/>
        <rFont val="돋움"/>
        <family val="3"/>
        <charset val="129"/>
      </rPr>
      <t>) =</t>
    </r>
    <phoneticPr fontId="5" type="noConversion"/>
  </si>
  <si>
    <t>5. Terzaghi의 지지력공식에 의한 지지력 계산</t>
    <phoneticPr fontId="5" type="noConversion"/>
  </si>
  <si>
    <t>지반의 가중평균 점착력과 가중평균내부마찰각을 산출하여 Terzaghi 극한지지력 산출공식으로 산출함</t>
    <phoneticPr fontId="5" type="noConversion"/>
  </si>
  <si>
    <t>원지반</t>
    <phoneticPr fontId="5" type="noConversion"/>
  </si>
  <si>
    <t>Nc, Nr, Nq</t>
  </si>
  <si>
    <t>:</t>
    <phoneticPr fontId="5" type="noConversion"/>
  </si>
  <si>
    <t>기초의 지지력 계수</t>
  </si>
  <si>
    <t>내부마찰각</t>
  </si>
  <si>
    <t>Nc</t>
  </si>
  <si>
    <t>Nr</t>
  </si>
  <si>
    <t>Nq</t>
  </si>
  <si>
    <t>보강지반</t>
    <phoneticPr fontId="5" type="noConversion"/>
  </si>
  <si>
    <t>Φ</t>
    <phoneticPr fontId="26" type="noConversion"/>
  </si>
  <si>
    <t>Terzaghi</t>
    <phoneticPr fontId="26" type="noConversion"/>
  </si>
  <si>
    <t>⑪</t>
    <phoneticPr fontId="5" type="noConversion"/>
  </si>
  <si>
    <r>
      <t xml:space="preserve">r1, r2를 기입하여 </t>
    </r>
    <r>
      <rPr>
        <sz val="12"/>
        <color rgb="FFC00000"/>
        <rFont val="돋움"/>
        <family val="3"/>
        <charset val="129"/>
      </rPr>
      <t>γ</t>
    </r>
    <r>
      <rPr>
        <sz val="9"/>
        <color rgb="FFC00000"/>
        <rFont val="돋움"/>
        <family val="3"/>
        <charset val="129"/>
      </rPr>
      <t>1</t>
    </r>
    <r>
      <rPr>
        <sz val="12"/>
        <color rgb="FFC00000"/>
        <rFont val="돋움"/>
        <family val="3"/>
        <charset val="129"/>
      </rPr>
      <t>,γ</t>
    </r>
    <r>
      <rPr>
        <sz val="9"/>
        <color rgb="FFC00000"/>
        <rFont val="돋움"/>
        <family val="3"/>
        <charset val="129"/>
      </rPr>
      <t>2가 산출된다.(자동산출됨)</t>
    </r>
    <phoneticPr fontId="5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</si>
  <si>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c</t>
    </r>
    <phoneticPr fontId="26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</si>
  <si>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r</t>
    </r>
    <phoneticPr fontId="26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</si>
  <si>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q</t>
    </r>
    <phoneticPr fontId="26" type="noConversion"/>
  </si>
  <si>
    <t>r1</t>
    <phoneticPr fontId="5" type="noConversion"/>
  </si>
  <si>
    <t>지하수위</t>
    <phoneticPr fontId="5" type="noConversion"/>
  </si>
  <si>
    <t>r2</t>
    <phoneticPr fontId="5" type="noConversion"/>
  </si>
  <si>
    <t>근입깊이(Df)</t>
    <phoneticPr fontId="5" type="noConversion"/>
  </si>
  <si>
    <t>γ1</t>
    <phoneticPr fontId="5" type="noConversion"/>
  </si>
  <si>
    <t>γ2</t>
    <phoneticPr fontId="5" type="noConversion"/>
  </si>
  <si>
    <t>α , β</t>
    <phoneticPr fontId="26" type="noConversion"/>
  </si>
  <si>
    <t>:</t>
    <phoneticPr fontId="26" type="noConversion"/>
  </si>
  <si>
    <t>기초형식에 따른 형상계수</t>
    <phoneticPr fontId="26" type="noConversion"/>
  </si>
  <si>
    <t>기초형식</t>
    <phoneticPr fontId="26" type="noConversion"/>
  </si>
  <si>
    <t>연   속</t>
    <phoneticPr fontId="26" type="noConversion"/>
  </si>
  <si>
    <t>정사각형</t>
    <phoneticPr fontId="26" type="noConversion"/>
  </si>
  <si>
    <t>직사각형</t>
    <phoneticPr fontId="26" type="noConversion"/>
  </si>
  <si>
    <t>원   형</t>
    <phoneticPr fontId="26" type="noConversion"/>
  </si>
  <si>
    <t>적   용</t>
    <phoneticPr fontId="26" type="noConversion"/>
  </si>
  <si>
    <t>형상계수</t>
    <phoneticPr fontId="26" type="noConversion"/>
  </si>
  <si>
    <t>α</t>
    <phoneticPr fontId="26" type="noConversion"/>
  </si>
  <si>
    <t>1+0.3B/L</t>
    <phoneticPr fontId="26" type="noConversion"/>
  </si>
  <si>
    <r>
      <rPr>
        <sz val="12"/>
        <color rgb="FFC00000"/>
        <rFont val="돋움"/>
        <family val="3"/>
        <charset val="129"/>
      </rPr>
      <t>α, β</t>
    </r>
    <r>
      <rPr>
        <sz val="10"/>
        <color rgb="FFC00000"/>
        <rFont val="돋움"/>
        <family val="3"/>
        <charset val="129"/>
      </rPr>
      <t>값 자동 산출됨</t>
    </r>
    <phoneticPr fontId="5" type="noConversion"/>
  </si>
  <si>
    <t>β</t>
    <phoneticPr fontId="26" type="noConversion"/>
  </si>
  <si>
    <t>0.5-0.1B/L</t>
    <phoneticPr fontId="26" type="noConversion"/>
  </si>
  <si>
    <t xml:space="preserve"> 보강전 원지반의 지지력</t>
    <phoneticPr fontId="5" type="noConversion"/>
  </si>
  <si>
    <t>근잎깊이</t>
  </si>
  <si>
    <t>q</t>
    <phoneticPr fontId="5" type="noConversion"/>
  </si>
  <si>
    <t>γ1</t>
  </si>
  <si>
    <t>γ2</t>
  </si>
  <si>
    <t>C</t>
    <phoneticPr fontId="5" type="noConversion"/>
  </si>
  <si>
    <t>Qult</t>
  </si>
  <si>
    <t>=</t>
  </si>
  <si>
    <t>αㆍcㆍNc  +  βㆍγ1ㆍBㆍNr  +  γ2ㆍDfㆍNq</t>
    <phoneticPr fontId="5" type="noConversion"/>
  </si>
  <si>
    <t>α, β : 기초의 형상계수</t>
    <phoneticPr fontId="26" type="noConversion"/>
  </si>
  <si>
    <t>B' : 하중의 편심을 고려한 기초의 유효재하 폭</t>
    <phoneticPr fontId="26" type="noConversion"/>
  </si>
  <si>
    <t xml:space="preserve">c : 지반의 점착력 </t>
    <phoneticPr fontId="26" type="noConversion"/>
  </si>
  <si>
    <t>q : 유효상재하중</t>
    <phoneticPr fontId="26" type="noConversion"/>
  </si>
  <si>
    <t>Nc , Nγ , Nq : 지지력 계수</t>
    <phoneticPr fontId="26" type="noConversion"/>
  </si>
  <si>
    <r>
      <t>원지반의 점착력 가중평균 C</t>
    </r>
    <r>
      <rPr>
        <vertAlign val="subscript"/>
        <sz val="11"/>
        <color theme="1"/>
        <rFont val="돋움"/>
        <family val="3"/>
        <charset val="129"/>
      </rPr>
      <t>aver</t>
    </r>
    <phoneticPr fontId="5" type="noConversion"/>
  </si>
  <si>
    <t>원지반의 내부마찰각 가중평균</t>
    <phoneticPr fontId="5" type="noConversion"/>
  </si>
  <si>
    <t>×</t>
    <phoneticPr fontId="5" type="noConversion"/>
  </si>
  <si>
    <t>+</t>
    <phoneticPr fontId="5" type="noConversion"/>
  </si>
  <si>
    <t>×</t>
  </si>
  <si>
    <t>kN/m2</t>
    <phoneticPr fontId="5" type="noConversion"/>
  </si>
  <si>
    <t>극한 지지력</t>
    <phoneticPr fontId="5" type="noConversion"/>
  </si>
  <si>
    <t>허용 지지력</t>
    <phoneticPr fontId="5" type="noConversion"/>
  </si>
  <si>
    <r>
      <t>kN/m</t>
    </r>
    <r>
      <rPr>
        <b/>
        <vertAlign val="superscript"/>
        <sz val="11"/>
        <color rgb="FFFF0000"/>
        <rFont val="돋움"/>
        <family val="3"/>
        <charset val="129"/>
      </rPr>
      <t>2</t>
    </r>
    <phoneticPr fontId="5" type="noConversion"/>
  </si>
  <si>
    <t>허   용   지   지   력</t>
    <phoneticPr fontId="26" type="noConversion"/>
  </si>
  <si>
    <t>작     용     하     중</t>
    <phoneticPr fontId="26" type="noConversion"/>
  </si>
  <si>
    <t>허용지지력 자동산출</t>
    <phoneticPr fontId="5" type="noConversion"/>
  </si>
  <si>
    <t>판                 정</t>
    <phoneticPr fontId="26" type="noConversion"/>
  </si>
  <si>
    <t>퍼즐쏘일 시공 후 보강지반의 지지력</t>
    <phoneticPr fontId="5" type="noConversion"/>
  </si>
  <si>
    <r>
      <t>보강지반의 점착력 가중평균 C</t>
    </r>
    <r>
      <rPr>
        <vertAlign val="subscript"/>
        <sz val="11"/>
        <color theme="1"/>
        <rFont val="돋움"/>
        <family val="3"/>
        <charset val="129"/>
      </rPr>
      <t>aver</t>
    </r>
    <phoneticPr fontId="5" type="noConversion"/>
  </si>
  <si>
    <t>보강지반의 내부마찰각 가중평균</t>
    <phoneticPr fontId="5" type="noConversion"/>
  </si>
  <si>
    <t>6. 침하량 계산</t>
    <phoneticPr fontId="5" type="noConversion"/>
  </si>
  <si>
    <t>Schmertmann의 제안식에 따라 산출</t>
    <phoneticPr fontId="5" type="noConversion"/>
  </si>
  <si>
    <r>
      <t>S</t>
    </r>
    <r>
      <rPr>
        <vertAlign val="subscript"/>
        <sz val="11"/>
        <color theme="1"/>
        <rFont val="돋움"/>
        <family val="3"/>
        <charset val="129"/>
      </rPr>
      <t xml:space="preserve">i  </t>
    </r>
    <r>
      <rPr>
        <sz val="11"/>
        <color theme="1"/>
        <rFont val="돋움"/>
        <family val="3"/>
        <charset val="129"/>
      </rPr>
      <t xml:space="preserve"> =   C</t>
    </r>
    <r>
      <rPr>
        <vertAlign val="subscript"/>
        <sz val="11"/>
        <color theme="1"/>
        <rFont val="돋움"/>
        <family val="3"/>
        <charset val="129"/>
      </rPr>
      <t xml:space="preserve">1 </t>
    </r>
    <r>
      <rPr>
        <sz val="11"/>
        <color theme="1"/>
        <rFont val="돋움"/>
        <family val="3"/>
        <charset val="129"/>
      </rPr>
      <t>ㆍ C</t>
    </r>
    <r>
      <rPr>
        <vertAlign val="subscript"/>
        <sz val="11"/>
        <color theme="1"/>
        <rFont val="돋움"/>
        <family val="3"/>
        <charset val="129"/>
      </rPr>
      <t xml:space="preserve">2 </t>
    </r>
    <r>
      <rPr>
        <sz val="11"/>
        <color theme="1"/>
        <rFont val="돋움"/>
        <family val="3"/>
        <charset val="129"/>
      </rPr>
      <t>ㆍ △P ㆍ ∑(I</t>
    </r>
    <r>
      <rPr>
        <vertAlign val="subscript"/>
        <sz val="11"/>
        <color theme="1"/>
        <rFont val="돋움"/>
        <family val="3"/>
        <charset val="129"/>
      </rPr>
      <t>z</t>
    </r>
    <r>
      <rPr>
        <sz val="11"/>
        <color theme="1"/>
        <rFont val="돋움"/>
        <family val="3"/>
        <charset val="129"/>
      </rPr>
      <t xml:space="preserve"> / E</t>
    </r>
    <r>
      <rPr>
        <vertAlign val="subscript"/>
        <sz val="11"/>
        <color theme="1"/>
        <rFont val="돋움"/>
        <family val="3"/>
        <charset val="129"/>
      </rPr>
      <t>s</t>
    </r>
    <r>
      <rPr>
        <sz val="11"/>
        <color theme="1"/>
        <rFont val="돋움"/>
        <family val="3"/>
        <charset val="129"/>
      </rPr>
      <t>) ㆍ △Z</t>
    </r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</si>
  <si>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 xml:space="preserve">   =   </t>
    </r>
    <phoneticPr fontId="26" type="noConversion"/>
  </si>
  <si>
    <t>1   -   0.5   ㆍ(  q'  /  ( q - q'))  &gt;  0.5</t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</si>
  <si>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 xml:space="preserve">   </t>
    </r>
    <phoneticPr fontId="26" type="noConversion"/>
  </si>
  <si>
    <t>: 기초의 근입깊이에 대한 보정계수</t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</si>
  <si>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2</t>
    </r>
    <r>
      <rPr>
        <sz val="11"/>
        <color theme="1"/>
        <rFont val="돋움"/>
        <family val="3"/>
        <charset val="129"/>
      </rPr>
      <t xml:space="preserve">   =   </t>
    </r>
    <phoneticPr fontId="26" type="noConversion"/>
  </si>
  <si>
    <t>1   +   0.2   log  ( Years  /  0.1)</t>
    <phoneticPr fontId="26" type="noConversion"/>
  </si>
  <si>
    <t>:모래의 Creep에 대한 보정계수</t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</si>
  <si>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2</t>
    </r>
    <phoneticPr fontId="5" type="noConversion"/>
  </si>
  <si>
    <t>: 모래의 크리프(creep)에 대한 보정계수</t>
    <phoneticPr fontId="5" type="noConversion"/>
  </si>
  <si>
    <t xml:space="preserve"> </t>
    <phoneticPr fontId="26" type="noConversion"/>
  </si>
  <si>
    <t>△P : Net applied footing pressure(q-q') 기초근입깊이 유효응력</t>
    <phoneticPr fontId="26" type="noConversion"/>
  </si>
  <si>
    <t>q : 기초저면 유효상재하중</t>
    <phoneticPr fontId="26" type="noConversion"/>
  </si>
  <si>
    <t>q' : 접지압 D f (r×D f )</t>
    <phoneticPr fontId="26" type="noConversion"/>
  </si>
  <si>
    <r>
      <t>I</t>
    </r>
    <r>
      <rPr>
        <vertAlign val="subscript"/>
        <sz val="11"/>
        <rFont val="돋움"/>
        <family val="3"/>
        <charset val="129"/>
      </rPr>
      <t>z</t>
    </r>
    <r>
      <rPr>
        <sz val="11"/>
        <rFont val="돋움"/>
        <family val="3"/>
        <charset val="129"/>
      </rPr>
      <t xml:space="preserve"> : 변형영향계수</t>
    </r>
    <phoneticPr fontId="26" type="noConversion"/>
  </si>
  <si>
    <r>
      <t>E</t>
    </r>
    <r>
      <rPr>
        <vertAlign val="subscript"/>
        <sz val="11"/>
        <rFont val="돋움"/>
        <family val="3"/>
        <charset val="129"/>
      </rPr>
      <t>s</t>
    </r>
    <r>
      <rPr>
        <sz val="11"/>
        <rFont val="돋움"/>
        <family val="3"/>
        <charset val="129"/>
      </rPr>
      <t xml:space="preserve"> : 변형계수</t>
    </r>
    <phoneticPr fontId="26" type="noConversion"/>
  </si>
  <si>
    <t>△Z : 토층의 두께</t>
    <phoneticPr fontId="26" type="noConversion"/>
  </si>
  <si>
    <t>⑫</t>
    <phoneticPr fontId="5" type="noConversion"/>
  </si>
  <si>
    <t>근입깊이에서부터 한계깊이까지 길이를 수정 산입하고 Zp값을 손본다 (이후 자동계산)</t>
    <phoneticPr fontId="5" type="noConversion"/>
  </si>
  <si>
    <t>보강전 원지반의 침하량</t>
    <phoneticPr fontId="5" type="noConversion"/>
  </si>
  <si>
    <r>
      <t xml:space="preserve">E </t>
    </r>
    <r>
      <rPr>
        <vertAlign val="subscript"/>
        <sz val="9.5"/>
        <rFont val="가는각진제목체"/>
        <family val="1"/>
        <charset val="129"/>
      </rPr>
      <t>s</t>
    </r>
    <r>
      <rPr>
        <sz val="9.5"/>
        <rFont val="새굴림"/>
        <family val="1"/>
        <charset val="129"/>
      </rPr>
      <t>'</t>
    </r>
    <phoneticPr fontId="19" type="noConversion"/>
  </si>
  <si>
    <t>기초폭</t>
  </si>
  <si>
    <t>기초길이</t>
  </si>
  <si>
    <r>
      <t>q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</si>
  <si>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t>q'</t>
    <phoneticPr fontId="5" type="noConversion"/>
  </si>
  <si>
    <r>
      <t>C</t>
    </r>
    <r>
      <rPr>
        <b/>
        <vertAlign val="subscript"/>
        <sz val="11"/>
        <rFont val="돋움"/>
        <family val="3"/>
        <charset val="129"/>
      </rPr>
      <t>1</t>
    </r>
    <phoneticPr fontId="5" type="noConversion"/>
  </si>
  <si>
    <r>
      <t>C</t>
    </r>
    <r>
      <rPr>
        <b/>
        <vertAlign val="subscript"/>
        <sz val="11"/>
        <rFont val="돋움"/>
        <family val="3"/>
        <charset val="129"/>
      </rPr>
      <t>2</t>
    </r>
    <phoneticPr fontId="5" type="noConversion"/>
  </si>
  <si>
    <t>깊이</t>
    <phoneticPr fontId="5" type="noConversion"/>
  </si>
  <si>
    <t>기초하부로부터층 중심깊이</t>
    <phoneticPr fontId="5" type="noConversion"/>
  </si>
  <si>
    <t>변형영향계수</t>
    <phoneticPr fontId="5" type="noConversion"/>
  </si>
  <si>
    <t>원지반의 변형량</t>
    <phoneticPr fontId="5" type="noConversion"/>
  </si>
  <si>
    <r>
      <rPr>
        <sz val="8"/>
        <rFont val="새굴림"/>
        <family val="1"/>
        <charset val="129"/>
      </rPr>
      <t>깊 이</t>
    </r>
    <r>
      <rPr>
        <sz val="8"/>
        <rFont val="가는각진제목체"/>
        <family val="1"/>
        <charset val="129"/>
      </rPr>
      <t xml:space="preserve"> (m)</t>
    </r>
    <phoneticPr fontId="19" type="noConversion"/>
  </si>
  <si>
    <r>
      <t>Z</t>
    </r>
    <r>
      <rPr>
        <vertAlign val="subscript"/>
        <sz val="8"/>
        <rFont val="돋움"/>
        <family val="3"/>
        <charset val="129"/>
      </rPr>
      <t>p</t>
    </r>
    <r>
      <rPr>
        <sz val="8"/>
        <rFont val="돋움"/>
        <family val="1"/>
        <charset val="129"/>
      </rPr>
      <t xml:space="preserve"> (m)</t>
    </r>
    <phoneticPr fontId="19" type="noConversion"/>
  </si>
  <si>
    <r>
      <t>E</t>
    </r>
    <r>
      <rPr>
        <vertAlign val="subscript"/>
        <sz val="8"/>
        <rFont val="가는각진제목체"/>
        <family val="1"/>
        <charset val="129"/>
      </rPr>
      <t>s</t>
    </r>
    <phoneticPr fontId="19" type="noConversion"/>
  </si>
  <si>
    <r>
      <t xml:space="preserve"> I</t>
    </r>
    <r>
      <rPr>
        <vertAlign val="subscript"/>
        <sz val="8"/>
        <rFont val="가는각진제목체"/>
        <family val="1"/>
        <charset val="129"/>
      </rPr>
      <t>z</t>
    </r>
    <phoneticPr fontId="19" type="noConversion"/>
  </si>
  <si>
    <r>
      <t>(I</t>
    </r>
    <r>
      <rPr>
        <vertAlign val="subscript"/>
        <sz val="8"/>
        <rFont val="가는각진제목체"/>
        <family val="1"/>
        <charset val="129"/>
      </rPr>
      <t>z</t>
    </r>
    <r>
      <rPr>
        <sz val="8"/>
        <rFont val="가는각진제목체"/>
        <family val="1"/>
        <charset val="129"/>
      </rPr>
      <t>/Es)*</t>
    </r>
    <r>
      <rPr>
        <sz val="8"/>
        <rFont val="Calibri"/>
        <family val="1"/>
        <charset val="161"/>
      </rPr>
      <t>Δ</t>
    </r>
    <r>
      <rPr>
        <sz val="8"/>
        <rFont val="가는각진제목체"/>
        <family val="1"/>
        <charset val="129"/>
      </rPr>
      <t>Z</t>
    </r>
    <phoneticPr fontId="5" type="noConversion"/>
  </si>
  <si>
    <t>10kg/m2</t>
    <phoneticPr fontId="26" type="noConversion"/>
  </si>
  <si>
    <t>1N/mm2</t>
    <phoneticPr fontId="26" type="noConversion"/>
  </si>
  <si>
    <t>∑ =</t>
    <phoneticPr fontId="5" type="noConversion"/>
  </si>
  <si>
    <t>1t/m2</t>
    <phoneticPr fontId="26" type="noConversion"/>
  </si>
  <si>
    <t>10kN/m2</t>
    <phoneticPr fontId="26" type="noConversion"/>
  </si>
  <si>
    <t>⑬</t>
    <phoneticPr fontId="5" type="noConversion"/>
  </si>
  <si>
    <t>Aj361셀에 근입깊이를 기입하면 자동 계산되며 그래프의 데이터볌위를 편집하여 그래프를 수정한다.</t>
    <phoneticPr fontId="5" type="noConversion"/>
  </si>
  <si>
    <t>최대변형영향계수 심도 (z(fp))</t>
    <phoneticPr fontId="5" type="noConversion"/>
  </si>
  <si>
    <t>square or circle</t>
    <phoneticPr fontId="26" type="noConversion"/>
  </si>
  <si>
    <t>z</t>
    <phoneticPr fontId="26" type="noConversion"/>
  </si>
  <si>
    <t>Iz</t>
    <phoneticPr fontId="26" type="noConversion"/>
  </si>
  <si>
    <t>Slope</t>
    <phoneticPr fontId="26" type="noConversion"/>
  </si>
  <si>
    <t>Intcp</t>
    <phoneticPr fontId="26" type="noConversion"/>
  </si>
  <si>
    <r>
      <t>[0.5 + 0.0555 (L/B-1)] x B + D</t>
    </r>
    <r>
      <rPr>
        <vertAlign val="subscript"/>
        <sz val="11"/>
        <rFont val="돋움"/>
        <family val="3"/>
        <charset val="129"/>
      </rPr>
      <t>f</t>
    </r>
    <phoneticPr fontId="5" type="noConversion"/>
  </si>
  <si>
    <t>침하량 계산</t>
    <phoneticPr fontId="5" type="noConversion"/>
  </si>
  <si>
    <t>1&lt;m&lt;10</t>
  </si>
  <si>
    <r>
      <t>S</t>
    </r>
    <r>
      <rPr>
        <vertAlign val="subscript"/>
        <sz val="11"/>
        <rFont val="돋움"/>
        <family val="3"/>
        <charset val="129"/>
      </rPr>
      <t>i</t>
    </r>
    <phoneticPr fontId="26" type="noConversion"/>
  </si>
  <si>
    <t>=</t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</si>
  <si>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1</t>
    </r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</si>
  <si>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2</t>
    </r>
    <phoneticPr fontId="26" type="noConversion"/>
  </si>
  <si>
    <t>(q'-q)</t>
    <phoneticPr fontId="5" type="noConversion"/>
  </si>
  <si>
    <t>∑</t>
    <phoneticPr fontId="26" type="noConversion"/>
  </si>
  <si>
    <r>
      <t>(I</t>
    </r>
    <r>
      <rPr>
        <vertAlign val="subscript"/>
        <sz val="11"/>
        <rFont val="돋움"/>
        <family val="3"/>
        <charset val="129"/>
      </rPr>
      <t>z</t>
    </r>
    <phoneticPr fontId="26" type="noConversion"/>
  </si>
  <si>
    <t>/</t>
    <phoneticPr fontId="26" type="noConversion"/>
  </si>
  <si>
    <r>
      <t>E</t>
    </r>
    <r>
      <rPr>
        <vertAlign val="subscript"/>
        <sz val="11"/>
        <rFont val="돋움"/>
        <family val="3"/>
        <charset val="129"/>
      </rPr>
      <t>s</t>
    </r>
    <phoneticPr fontId="26" type="noConversion"/>
  </si>
  <si>
    <t>)</t>
    <phoneticPr fontId="26" type="noConversion"/>
  </si>
  <si>
    <t>△Z</t>
    <phoneticPr fontId="26" type="noConversion"/>
  </si>
  <si>
    <r>
      <t>m</t>
    </r>
    <r>
      <rPr>
        <sz val="9"/>
        <rFont val="돋움체"/>
        <family val="3"/>
        <charset val="129"/>
      </rPr>
      <t>≥</t>
    </r>
    <r>
      <rPr>
        <sz val="9"/>
        <rFont val="Arial"/>
        <family val="2"/>
      </rPr>
      <t>10</t>
    </r>
  </si>
  <si>
    <t>=(</t>
    <phoneticPr fontId="26" type="noConversion"/>
  </si>
  <si>
    <t>)</t>
    <phoneticPr fontId="5" type="noConversion"/>
  </si>
  <si>
    <t>mm</t>
    <phoneticPr fontId="26" type="noConversion"/>
  </si>
  <si>
    <t>-</t>
    <phoneticPr fontId="26" type="noConversion"/>
  </si>
  <si>
    <t>(</t>
    <phoneticPr fontId="26" type="noConversion"/>
  </si>
  <si>
    <t>q'</t>
  </si>
  <si>
    <t>q'</t>
    <phoneticPr fontId="26" type="noConversion"/>
  </si>
  <si>
    <r>
      <t>kN/m</t>
    </r>
    <r>
      <rPr>
        <vertAlign val="superscript"/>
        <sz val="11"/>
        <rFont val="돋움"/>
        <family val="3"/>
        <charset val="129"/>
      </rPr>
      <t>2</t>
    </r>
    <phoneticPr fontId="26" type="noConversion"/>
  </si>
  <si>
    <t>q</t>
    <phoneticPr fontId="26" type="noConversion"/>
  </si>
  <si>
    <t>(</t>
  </si>
  <si>
    <t>+</t>
    <phoneticPr fontId="26" type="noConversion"/>
  </si>
  <si>
    <t>log</t>
    <phoneticPr fontId="26" type="noConversion"/>
  </si>
  <si>
    <t>침        하        량</t>
    <phoneticPr fontId="26" type="noConversion"/>
  </si>
  <si>
    <t>허  용   침  하  량</t>
    <phoneticPr fontId="26" type="noConversion"/>
  </si>
  <si>
    <t>판                  정</t>
    <phoneticPr fontId="26" type="noConversion"/>
  </si>
  <si>
    <t>퍼즐쏘일 보강후 보강지반의 침하량</t>
    <phoneticPr fontId="5" type="noConversion"/>
  </si>
  <si>
    <t>*</t>
    <phoneticPr fontId="5" type="noConversion"/>
  </si>
  <si>
    <r>
      <t>보강지반의 총침하량(S</t>
    </r>
    <r>
      <rPr>
        <b/>
        <vertAlign val="subscript"/>
        <sz val="11"/>
        <rFont val="돋움"/>
        <family val="3"/>
        <charset val="129"/>
      </rPr>
      <t>i</t>
    </r>
    <r>
      <rPr>
        <b/>
        <sz val="11"/>
        <rFont val="돋움"/>
        <family val="3"/>
        <charset val="129"/>
      </rPr>
      <t>) = 퍼즐쏘일의 침하량(S</t>
    </r>
    <r>
      <rPr>
        <b/>
        <vertAlign val="subscript"/>
        <sz val="11"/>
        <rFont val="돋움"/>
        <family val="3"/>
        <charset val="129"/>
      </rPr>
      <t>ps</t>
    </r>
    <r>
      <rPr>
        <b/>
        <sz val="11"/>
        <rFont val="돋움"/>
        <family val="3"/>
        <charset val="129"/>
      </rPr>
      <t>) + 원지반의 침하량 (S</t>
    </r>
    <r>
      <rPr>
        <b/>
        <vertAlign val="subscript"/>
        <sz val="11"/>
        <rFont val="돋움"/>
        <family val="3"/>
        <charset val="129"/>
      </rPr>
      <t>0</t>
    </r>
    <r>
      <rPr>
        <b/>
        <sz val="11"/>
        <rFont val="돋움"/>
        <family val="3"/>
        <charset val="129"/>
      </rPr>
      <t>)</t>
    </r>
    <phoneticPr fontId="5" type="noConversion"/>
  </si>
  <si>
    <t>퍼즐쏘일의 침하량</t>
    <phoneticPr fontId="5" type="noConversion"/>
  </si>
  <si>
    <r>
      <t>S</t>
    </r>
    <r>
      <rPr>
        <b/>
        <vertAlign val="subscript"/>
        <sz val="11"/>
        <rFont val="돋움"/>
        <family val="3"/>
        <charset val="129"/>
      </rPr>
      <t>ps</t>
    </r>
    <phoneticPr fontId="5" type="noConversion"/>
  </si>
  <si>
    <r>
      <t>σ * H</t>
    </r>
    <r>
      <rPr>
        <vertAlign val="subscript"/>
        <sz val="11"/>
        <rFont val="돋움"/>
        <family val="3"/>
        <charset val="129"/>
      </rPr>
      <t>ps</t>
    </r>
    <phoneticPr fontId="5" type="noConversion"/>
  </si>
  <si>
    <r>
      <t>E</t>
    </r>
    <r>
      <rPr>
        <b/>
        <vertAlign val="subscript"/>
        <sz val="11"/>
        <rFont val="돋움"/>
        <family val="3"/>
        <charset val="129"/>
      </rPr>
      <t>a</t>
    </r>
    <phoneticPr fontId="5" type="noConversion"/>
  </si>
  <si>
    <t>E * ( 1 - υ )</t>
    <phoneticPr fontId="5" type="noConversion"/>
  </si>
  <si>
    <r>
      <t>E</t>
    </r>
    <r>
      <rPr>
        <vertAlign val="subscript"/>
        <sz val="11"/>
        <rFont val="돋움"/>
        <family val="3"/>
        <charset val="129"/>
      </rPr>
      <t>a</t>
    </r>
    <phoneticPr fontId="5" type="noConversion"/>
  </si>
  <si>
    <t xml:space="preserve">     ( 1 + υ ) * ( 1 - 2υ )</t>
    <phoneticPr fontId="5" type="noConversion"/>
  </si>
  <si>
    <t>명칭</t>
    <phoneticPr fontId="5" type="noConversion"/>
  </si>
  <si>
    <r>
      <t>두께 H</t>
    </r>
    <r>
      <rPr>
        <vertAlign val="subscript"/>
        <sz val="10"/>
        <rFont val="돋움"/>
        <family val="3"/>
        <charset val="129"/>
      </rPr>
      <t xml:space="preserve">ps </t>
    </r>
    <r>
      <rPr>
        <sz val="10"/>
        <rFont val="돋움"/>
        <family val="3"/>
        <charset val="129"/>
      </rPr>
      <t>(mm)</t>
    </r>
    <phoneticPr fontId="5" type="noConversion"/>
  </si>
  <si>
    <r>
      <t>탄성계수 E (KN/m</t>
    </r>
    <r>
      <rPr>
        <vertAlign val="superscript"/>
        <sz val="10"/>
        <rFont val="돋움"/>
        <family val="3"/>
        <charset val="129"/>
      </rPr>
      <t>2</t>
    </r>
    <r>
      <rPr>
        <sz val="10"/>
        <rFont val="돋움"/>
        <family val="3"/>
        <charset val="129"/>
      </rPr>
      <t>)</t>
    </r>
    <phoneticPr fontId="5" type="noConversion"/>
  </si>
  <si>
    <t>포아송비 υ</t>
    <phoneticPr fontId="5" type="noConversion"/>
  </si>
  <si>
    <r>
      <t>기초하부접지응력 σ (KN/m</t>
    </r>
    <r>
      <rPr>
        <vertAlign val="superscript"/>
        <sz val="8"/>
        <rFont val="돋움"/>
        <family val="3"/>
        <charset val="129"/>
      </rPr>
      <t>2</t>
    </r>
    <r>
      <rPr>
        <sz val="8"/>
        <rFont val="돋움"/>
        <family val="3"/>
        <charset val="129"/>
      </rPr>
      <t>)</t>
    </r>
    <phoneticPr fontId="5" type="noConversion"/>
  </si>
  <si>
    <t>(</t>
    <phoneticPr fontId="5" type="noConversion"/>
  </si>
  <si>
    <t>-</t>
    <phoneticPr fontId="5" type="noConversion"/>
  </si>
  <si>
    <t>* (</t>
    <phoneticPr fontId="5" type="noConversion"/>
  </si>
  <si>
    <t>mm</t>
    <phoneticPr fontId="5" type="noConversion"/>
  </si>
  <si>
    <t>퍼즐쏘일 하부 원지반의 침하량</t>
    <phoneticPr fontId="5" type="noConversion"/>
  </si>
  <si>
    <r>
      <t>S</t>
    </r>
    <r>
      <rPr>
        <vertAlign val="subscript"/>
        <sz val="11"/>
        <rFont val="돋움"/>
        <family val="3"/>
        <charset val="129"/>
      </rPr>
      <t>0</t>
    </r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</si>
  <si>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1</t>
    </r>
    <phoneticPr fontId="5" type="noConversion"/>
  </si>
  <si>
    <r>
      <t>(q</t>
    </r>
    <r>
      <rPr>
        <vertAlign val="subscript"/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-q')</t>
    </r>
    <phoneticPr fontId="5" type="noConversion"/>
  </si>
  <si>
    <t>∑</t>
  </si>
  <si>
    <t>Iz</t>
    <phoneticPr fontId="5" type="noConversion"/>
  </si>
  <si>
    <t>△Z</t>
  </si>
  <si>
    <t>Es</t>
    <phoneticPr fontId="5" type="noConversion"/>
  </si>
  <si>
    <t>⑭</t>
    <phoneticPr fontId="5" type="noConversion"/>
  </si>
  <si>
    <t>퍼즐쏘일의 두께만큼 기초두께가 연장된 걸로 보고 근입깊이를 수정(자동계산됨)하여 길이를 수정하고 Zp값을 손보면 침하량이 자동계산된다.</t>
    <phoneticPr fontId="5" type="noConversion"/>
  </si>
  <si>
    <t>퍼즐쏘일  보강지반의 변형량</t>
    <phoneticPr fontId="5" type="noConversion"/>
  </si>
  <si>
    <r>
      <t>퍼즐쏘일 하부에서의 유효응력 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</si>
  <si>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r>
      <t>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</si>
  <si>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t xml:space="preserve">q * ( B * L ) </t>
    <phoneticPr fontId="5" type="noConversion"/>
  </si>
  <si>
    <t>(B + Z) * (L + Z)</t>
    <phoneticPr fontId="5" type="noConversion"/>
  </si>
  <si>
    <r>
      <t>kN/m</t>
    </r>
    <r>
      <rPr>
        <b/>
        <vertAlign val="superscript"/>
        <sz val="11"/>
        <rFont val="돋움"/>
        <family val="3"/>
        <charset val="129"/>
      </rPr>
      <t>2</t>
    </r>
    <phoneticPr fontId="5" type="noConversion"/>
  </si>
  <si>
    <r>
      <t>q</t>
    </r>
    <r>
      <rPr>
        <vertAlign val="subscript"/>
        <sz val="11"/>
        <rFont val="돋움"/>
        <family val="3"/>
        <charset val="129"/>
      </rPr>
      <t>0</t>
    </r>
    <phoneticPr fontId="26" type="noConversion"/>
  </si>
  <si>
    <t>Aj490셀에 근입깊이를 기입하면 자동 계산되며 그래프의 데이터볌위를 편집하여 그래프를 수정한다.</t>
    <phoneticPr fontId="5" type="noConversion"/>
  </si>
  <si>
    <r>
      <t>S</t>
    </r>
    <r>
      <rPr>
        <vertAlign val="subscript"/>
        <sz val="11"/>
        <rFont val="Arial"/>
        <family val="2"/>
      </rPr>
      <t>i</t>
    </r>
    <phoneticPr fontId="5" type="noConversion"/>
  </si>
  <si>
    <r>
      <t>S</t>
    </r>
    <r>
      <rPr>
        <vertAlign val="subscript"/>
        <sz val="11"/>
        <rFont val="Arial"/>
        <family val="2"/>
      </rPr>
      <t>ps</t>
    </r>
    <phoneticPr fontId="5" type="noConversion"/>
  </si>
  <si>
    <r>
      <t>S</t>
    </r>
    <r>
      <rPr>
        <vertAlign val="subscript"/>
        <sz val="11"/>
        <rFont val="Arial"/>
        <family val="2"/>
      </rPr>
      <t>0</t>
    </r>
    <phoneticPr fontId="5" type="noConversion"/>
  </si>
  <si>
    <t>mm</t>
  </si>
  <si>
    <t>구조물 기초 일반조건</t>
    <phoneticPr fontId="5" type="noConversion"/>
  </si>
  <si>
    <t>BH-1</t>
    <phoneticPr fontId="5" type="noConversion"/>
  </si>
  <si>
    <t>서귀동</t>
    <phoneticPr fontId="5" type="noConversion"/>
  </si>
  <si>
    <r>
      <rPr>
        <b/>
        <sz val="10"/>
        <rFont val="Segoe UI Symbol"/>
        <family val="2"/>
      </rPr>
      <t>■</t>
    </r>
    <r>
      <rPr>
        <b/>
        <sz val="10"/>
        <rFont val="새굴림"/>
        <family val="2"/>
        <charset val="129"/>
      </rPr>
      <t xml:space="preserve"> 기초 지지력 검토</t>
    </r>
    <phoneticPr fontId="5" type="noConversion"/>
  </si>
  <si>
    <r>
      <t>설계하중(kN/m</t>
    </r>
    <r>
      <rPr>
        <b/>
        <vertAlign val="superscript"/>
        <sz val="10"/>
        <rFont val="새굴림"/>
        <family val="1"/>
        <charset val="129"/>
      </rPr>
      <t>2</t>
    </r>
    <r>
      <rPr>
        <b/>
        <sz val="10"/>
        <rFont val="새굴림"/>
        <family val="1"/>
        <charset val="129"/>
      </rPr>
      <t>)</t>
    </r>
    <phoneticPr fontId="5" type="noConversion"/>
  </si>
  <si>
    <r>
      <t>보강전 원지반의 혀용지지력 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</si>
  <si>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r>
      <t>퍼즐쏘일 보강후 지반의 허용지지력(kN/m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</si>
  <si>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r>
      <rPr>
        <b/>
        <sz val="10"/>
        <rFont val="Segoe UI Symbol"/>
        <family val="2"/>
      </rPr>
      <t>■</t>
    </r>
    <r>
      <rPr>
        <b/>
        <sz val="10"/>
        <rFont val="새굴림"/>
        <family val="2"/>
        <charset val="129"/>
      </rPr>
      <t xml:space="preserve"> 기초 침하량 검토</t>
    </r>
    <phoneticPr fontId="5" type="noConversion"/>
  </si>
  <si>
    <t>기준 침하량(mm)</t>
    <phoneticPr fontId="5" type="noConversion"/>
  </si>
  <si>
    <t>보강전 원지반의 침하량 (mm)</t>
    <phoneticPr fontId="5" type="noConversion"/>
  </si>
  <si>
    <t>퍼즐쏘일 보강후 지반의 침하량(mm)</t>
    <phoneticPr fontId="5" type="noConversion"/>
  </si>
  <si>
    <t>실트질모래</t>
    <phoneticPr fontId="5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</si>
  <si>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 </t>
    </r>
    <r>
      <rPr>
        <sz val="11"/>
        <color rgb="FFFF0000"/>
        <rFont val="맑은 고딕"/>
        <family val="3"/>
        <charset val="129"/>
        <scheme val="minor"/>
      </rPr>
      <t>25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</si>
  <si>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해곡리</t>
    <phoneticPr fontId="5" type="noConversion"/>
  </si>
  <si>
    <t>4. 페블테크 시공후 지반의 강도정수</t>
    <phoneticPr fontId="5" type="noConversion"/>
  </si>
  <si>
    <t>페블테크의 강도 정수</t>
    <phoneticPr fontId="5" type="noConversion"/>
  </si>
  <si>
    <t>페블테크의 내부 마찰각</t>
    <phoneticPr fontId="51" type="noConversion"/>
  </si>
  <si>
    <t>페블테크 시공계획</t>
    <phoneticPr fontId="5" type="noConversion"/>
  </si>
  <si>
    <t>페블테크두께(mm)</t>
    <phoneticPr fontId="5" type="noConversion"/>
  </si>
  <si>
    <t>페블테크</t>
    <phoneticPr fontId="5" type="noConversion"/>
  </si>
  <si>
    <t xml:space="preserve">한계깊이를 구한후 </t>
    <phoneticPr fontId="5" type="noConversion"/>
  </si>
  <si>
    <t>합계깊이를 수정함</t>
    <phoneticPr fontId="5" type="noConversion"/>
  </si>
  <si>
    <t>페블테크 지내력 검토(KDN충북사업처) - 지하층</t>
    <phoneticPr fontId="6" type="noConversion"/>
  </si>
  <si>
    <t>매립층</t>
    <phoneticPr fontId="5" type="noConversion"/>
  </si>
  <si>
    <t>퇴적층</t>
    <phoneticPr fontId="5" type="noConversion"/>
  </si>
  <si>
    <t>BH-2</t>
    <phoneticPr fontId="5" type="noConversion"/>
  </si>
  <si>
    <t>(C = 5KN/m2 으로 산입)</t>
    <phoneticPr fontId="5" type="noConversion"/>
  </si>
  <si>
    <r>
      <t>(C =</t>
    </r>
    <r>
      <rPr>
        <sz val="11"/>
        <color rgb="FFFF0000"/>
        <rFont val="맑은 고딕"/>
        <family val="3"/>
        <charset val="129"/>
        <scheme val="minor"/>
      </rPr>
      <t xml:space="preserve"> 10</t>
    </r>
    <r>
      <rPr>
        <sz val="11"/>
        <rFont val="맑은 고딕"/>
        <family val="3"/>
        <charset val="129"/>
        <scheme val="minor"/>
      </rPr>
      <t>KN/m2 으로 산입)</t>
    </r>
    <phoneticPr fontId="5" type="noConversion"/>
  </si>
  <si>
    <r>
      <t>(C =</t>
    </r>
    <r>
      <rPr>
        <sz val="10"/>
        <color rgb="FFFF0000"/>
        <rFont val="맑은 고딕"/>
        <family val="3"/>
        <charset val="129"/>
        <scheme val="minor"/>
      </rPr>
      <t xml:space="preserve"> 25</t>
    </r>
    <r>
      <rPr>
        <sz val="10"/>
        <rFont val="맑은 고딕"/>
        <family val="3"/>
        <charset val="129"/>
        <scheme val="minor"/>
      </rPr>
      <t>KN/m2 으로 산입)</t>
    </r>
    <phoneticPr fontId="5" type="noConversion"/>
  </si>
  <si>
    <t>N &gt; 30 풍화암의 점착력</t>
    <phoneticPr fontId="51" type="noConversion"/>
  </si>
  <si>
    <t>N &gt; 30 풍화토의 점착력</t>
    <phoneticPr fontId="51" type="noConversion"/>
  </si>
  <si>
    <t>지반조사결과 매립층-퇴적층-풍화토-풍화암층의 순서로 지반이 구성</t>
    <phoneticPr fontId="5" type="noConversion"/>
  </si>
  <si>
    <t>지지력 및 침하량 계산시 한계깊이(Hf)를 산출하거나 풍화암 2.0m까지인 22m까지 계산함</t>
    <phoneticPr fontId="5" type="noConversion"/>
  </si>
  <si>
    <t>기초근입깊이가 7.4m로 퇴적층 위에 기초가 자리잡으며 20.0m 깊이에 기반암인 풍화암이 위치함</t>
    <phoneticPr fontId="5" type="noConversion"/>
  </si>
  <si>
    <t>KDN충북사업처 검토서</t>
    <phoneticPr fontId="5" type="noConversion"/>
  </si>
  <si>
    <t>입력정수</t>
    <phoneticPr fontId="5" type="noConversion"/>
  </si>
  <si>
    <t>공법명</t>
    <phoneticPr fontId="5" type="noConversion"/>
  </si>
  <si>
    <t>페 블 테 크</t>
    <phoneticPr fontId="5" type="noConversion"/>
  </si>
  <si>
    <t>공사명</t>
    <phoneticPr fontId="5" type="noConversion"/>
  </si>
  <si>
    <t>검토일</t>
    <phoneticPr fontId="5" type="noConversion"/>
  </si>
  <si>
    <t>기초형식</t>
    <phoneticPr fontId="5" type="noConversion"/>
  </si>
  <si>
    <t>기초하부지층</t>
    <phoneticPr fontId="5" type="noConversion"/>
  </si>
  <si>
    <t>N값</t>
    <phoneticPr fontId="5" type="noConversion"/>
  </si>
  <si>
    <t>건물규모</t>
    <phoneticPr fontId="5" type="noConversion"/>
  </si>
  <si>
    <t>페블두께</t>
    <phoneticPr fontId="5" type="noConversion"/>
  </si>
  <si>
    <t>설계하중</t>
    <phoneticPr fontId="5" type="noConversion"/>
  </si>
  <si>
    <t>지반보강공법 검토서</t>
    <phoneticPr fontId="26" type="noConversion"/>
  </si>
  <si>
    <t xml:space="preserve">○  </t>
    <phoneticPr fontId="26" type="noConversion"/>
  </si>
  <si>
    <t xml:space="preserve">공  사  명    :  </t>
    <phoneticPr fontId="5" type="noConversion"/>
  </si>
  <si>
    <t xml:space="preserve">검 토 내 용  :  </t>
    <phoneticPr fontId="5" type="noConversion"/>
  </si>
  <si>
    <t>페블테크 지반보강공법 검토</t>
    <phoneticPr fontId="5" type="noConversion"/>
  </si>
  <si>
    <t xml:space="preserve">○  검 토 자 :  </t>
    <phoneticPr fontId="26" type="noConversion"/>
  </si>
  <si>
    <t xml:space="preserve">검  토  자    :  </t>
    <phoneticPr fontId="5" type="noConversion"/>
  </si>
  <si>
    <t>토질 및 기초 기술사 김선학</t>
    <phoneticPr fontId="5" type="noConversion"/>
  </si>
  <si>
    <t>지내력이 부족한 지반에 대하여 지반보강 공법으로 페블테크 공법 제안</t>
    <phoneticPr fontId="5" type="noConversion"/>
  </si>
  <si>
    <t>기 초 형 식</t>
  </si>
  <si>
    <t>기 초 하 부 지 층</t>
  </si>
  <si>
    <t>건 물 규 모</t>
  </si>
  <si>
    <t>1.</t>
    <phoneticPr fontId="5" type="noConversion"/>
  </si>
  <si>
    <t>검   토</t>
    <phoneticPr fontId="5" type="noConversion"/>
  </si>
  <si>
    <t>시 추 위 치 도</t>
    <phoneticPr fontId="5" type="noConversion"/>
  </si>
  <si>
    <t>기초레벨 검토</t>
    <phoneticPr fontId="5" type="noConversion"/>
  </si>
  <si>
    <t>2.</t>
    <phoneticPr fontId="5" type="noConversion"/>
  </si>
  <si>
    <t>페블테크 공법 제안</t>
    <phoneticPr fontId="5" type="noConversion"/>
  </si>
  <si>
    <t xml:space="preserve"> - 페블테크 치환공법 적용시 버림콘크리트 하부의 잡석 불필요</t>
    <phoneticPr fontId="5" type="noConversion"/>
  </si>
  <si>
    <t xml:space="preserve"> - 지반조건이 다를 경우, 페블테크의 물량은 변경될 수 있으며, 치환 깊이 재검토 필요</t>
    <phoneticPr fontId="5" type="noConversion"/>
  </si>
  <si>
    <t xml:space="preserve">현장 지반 조건에 의해 설계된 쇄석골재의 입도를 특수 배합 설계하여 지지력 및 침하량에 대응하여, </t>
    <phoneticPr fontId="5" type="noConversion"/>
  </si>
  <si>
    <t>구조설계부터 배합 시골까지 하</t>
    <phoneticPr fontId="5" type="noConversion"/>
  </si>
  <si>
    <t>제    출    문</t>
    <phoneticPr fontId="26" type="noConversion"/>
  </si>
  <si>
    <t>사 업 주 귀중</t>
    <phoneticPr fontId="26" type="noConversion"/>
  </si>
  <si>
    <t>의 페블테크 지반보강공법의 검토서를 제출합니다.</t>
    <phoneticPr fontId="5" type="noConversion"/>
  </si>
  <si>
    <t>전남 나주시 우정로10 사동305호</t>
    <phoneticPr fontId="26" type="noConversion"/>
  </si>
  <si>
    <t>대표이사 김 홍 수(인)</t>
    <phoneticPr fontId="26" type="noConversion"/>
  </si>
  <si>
    <t>○</t>
    <phoneticPr fontId="5" type="noConversion"/>
  </si>
  <si>
    <t>토질 및 기초기술사</t>
    <phoneticPr fontId="5" type="noConversion"/>
  </si>
  <si>
    <t>김   선   학  (인)</t>
    <phoneticPr fontId="5" type="noConversion"/>
  </si>
  <si>
    <t>토질 및 기초기술사 김선학</t>
    <phoneticPr fontId="5" type="noConversion"/>
  </si>
  <si>
    <t>지내력이 부족한 지반에 지반보강 공법으로 페블테크 공법 제안</t>
    <phoneticPr fontId="5" type="noConversion"/>
  </si>
  <si>
    <t>개   요</t>
    <phoneticPr fontId="5" type="noConversion"/>
  </si>
  <si>
    <t>시추위치도</t>
    <phoneticPr fontId="5" type="noConversion"/>
  </si>
  <si>
    <t>시추주상도</t>
    <phoneticPr fontId="5" type="noConversion"/>
  </si>
  <si>
    <t>구  분</t>
    <phoneticPr fontId="5" type="noConversion"/>
  </si>
  <si>
    <t>지충두께</t>
    <phoneticPr fontId="5" type="noConversion"/>
  </si>
  <si>
    <t>지반의 특성</t>
    <phoneticPr fontId="5" type="noConversion"/>
  </si>
  <si>
    <t>N치범위</t>
    <phoneticPr fontId="5" type="noConversion"/>
  </si>
  <si>
    <t>* 지반설정정수</t>
    <phoneticPr fontId="5" type="noConversion"/>
  </si>
  <si>
    <t>토층</t>
    <phoneticPr fontId="5" type="noConversion"/>
  </si>
  <si>
    <t>단위중량(kN/m3)</t>
    <phoneticPr fontId="5" type="noConversion"/>
  </si>
  <si>
    <t>점착력(kN/m2)</t>
    <phoneticPr fontId="5" type="noConversion"/>
  </si>
  <si>
    <t>내부마찰각(deg)</t>
    <phoneticPr fontId="5" type="noConversion"/>
  </si>
  <si>
    <t>변형계수(kN/m2)</t>
    <phoneticPr fontId="5" type="noConversion"/>
  </si>
  <si>
    <r>
      <t>kN/m</t>
    </r>
    <r>
      <rPr>
        <vertAlign val="superscript"/>
        <sz val="11"/>
        <rFont val="돋움"/>
        <family val="3"/>
        <charset val="129"/>
      </rPr>
      <t>2</t>
    </r>
    <phoneticPr fontId="5" type="noConversion"/>
  </si>
  <si>
    <t>점토질 모래</t>
    <phoneticPr fontId="5" type="noConversion"/>
  </si>
  <si>
    <t>판  정</t>
    <phoneticPr fontId="5" type="noConversion"/>
  </si>
  <si>
    <t>페블테크 시공계획</t>
  </si>
  <si>
    <t>페블테크의 두께 및 메트 겹수를 기입한다</t>
  </si>
  <si>
    <t>페블테크 보강후 보강지반의 침하량</t>
  </si>
  <si>
    <t>페블테크의 침하량</t>
  </si>
  <si>
    <t>페블테크</t>
  </si>
  <si>
    <t>페블테크 하부 원지반의 침하량</t>
  </si>
  <si>
    <t>페블테크의 두께만큼 기초두께가 연장된 걸로 보고 근입깊이를 수정(자동계산됨)하여 길이를 수정하고 Zp값을 손보면 침하량이 자동계산된다.</t>
  </si>
  <si>
    <t>)* (</t>
    <phoneticPr fontId="5" type="noConversion"/>
  </si>
  <si>
    <r>
      <t>탄성계수 E (KN/m</t>
    </r>
    <r>
      <rPr>
        <vertAlign val="superscript"/>
        <sz val="10"/>
        <color rgb="FFFF0000"/>
        <rFont val="돋움"/>
        <family val="3"/>
        <charset val="129"/>
      </rPr>
      <t>2</t>
    </r>
    <r>
      <rPr>
        <sz val="10"/>
        <color rgb="FFFF0000"/>
        <rFont val="돋움"/>
        <family val="3"/>
        <charset val="129"/>
      </rPr>
      <t>)</t>
    </r>
    <phoneticPr fontId="5" type="noConversion"/>
  </si>
  <si>
    <t>페블테크두께
(mm)</t>
    <phoneticPr fontId="5" type="noConversion"/>
  </si>
  <si>
    <t>근입 깊이
(m)</t>
    <phoneticPr fontId="5" type="noConversion"/>
  </si>
  <si>
    <t>기초길이
(L)</t>
    <phoneticPr fontId="5" type="noConversion"/>
  </si>
  <si>
    <t>PET MAT</t>
    <phoneticPr fontId="5" type="noConversion"/>
  </si>
  <si>
    <t>기초폭
(B)</t>
    <phoneticPr fontId="5" type="noConversion"/>
  </si>
  <si>
    <r>
      <t>설계하중
(kN/m</t>
    </r>
    <r>
      <rPr>
        <b/>
        <vertAlign val="superscript"/>
        <sz val="10"/>
        <rFont val="새굴림"/>
        <family val="1"/>
        <charset val="129"/>
      </rPr>
      <t>2</t>
    </r>
    <r>
      <rPr>
        <b/>
        <sz val="10"/>
        <rFont val="새굴림"/>
        <family val="1"/>
        <charset val="129"/>
      </rPr>
      <t>)</t>
    </r>
    <phoneticPr fontId="5" type="noConversion"/>
  </si>
  <si>
    <t>보강전 원지반의 침하량
(mm)</t>
    <phoneticPr fontId="5" type="noConversion"/>
  </si>
  <si>
    <t>기준 침하량
(mm)</t>
    <phoneticPr fontId="5" type="noConversion"/>
  </si>
  <si>
    <t>보강후 지반의 허용지지력
(kN/m2)</t>
    <phoneticPr fontId="5" type="noConversion"/>
  </si>
  <si>
    <t>보강후 지반의 침하량
(mm)</t>
    <phoneticPr fontId="5" type="noConversion"/>
  </si>
  <si>
    <t>마찰각가중</t>
    <phoneticPr fontId="5" type="noConversion"/>
  </si>
  <si>
    <r>
      <t>S</t>
    </r>
    <r>
      <rPr>
        <vertAlign val="subscript"/>
        <sz val="11"/>
        <rFont val="돋움"/>
        <family val="3"/>
        <charset val="129"/>
      </rPr>
      <t>ps</t>
    </r>
    <phoneticPr fontId="5" type="noConversion"/>
  </si>
  <si>
    <r>
      <t>탄성계수 E 
(KN/m</t>
    </r>
    <r>
      <rPr>
        <b/>
        <vertAlign val="superscript"/>
        <sz val="10"/>
        <rFont val="돋움"/>
        <family val="3"/>
        <charset val="129"/>
      </rPr>
      <t>2</t>
    </r>
    <r>
      <rPr>
        <b/>
        <sz val="10"/>
        <rFont val="돋움"/>
        <family val="3"/>
        <charset val="129"/>
      </rPr>
      <t>)</t>
    </r>
    <phoneticPr fontId="5" type="noConversion"/>
  </si>
  <si>
    <t>포아송비 
υ</t>
    <phoneticPr fontId="5" type="noConversion"/>
  </si>
  <si>
    <t>변형
영향계수</t>
    <phoneticPr fontId="5" type="noConversion"/>
  </si>
  <si>
    <t>기초하부로부터
층 중심깊이</t>
    <phoneticPr fontId="5" type="noConversion"/>
  </si>
  <si>
    <r>
      <t xml:space="preserve">r1, r2를 기입하여 </t>
    </r>
    <r>
      <rPr>
        <sz val="12"/>
        <color rgb="FF0000FF"/>
        <rFont val="돋움"/>
        <family val="3"/>
        <charset val="129"/>
      </rPr>
      <t>γ</t>
    </r>
    <r>
      <rPr>
        <sz val="9"/>
        <color rgb="FF0000FF"/>
        <rFont val="돋움"/>
        <family val="3"/>
        <charset val="129"/>
      </rPr>
      <t>1</t>
    </r>
    <r>
      <rPr>
        <sz val="12"/>
        <color rgb="FF0000FF"/>
        <rFont val="돋움"/>
        <family val="3"/>
        <charset val="129"/>
      </rPr>
      <t>,γ</t>
    </r>
    <r>
      <rPr>
        <sz val="9"/>
        <color rgb="FF0000FF"/>
        <rFont val="돋움"/>
        <family val="3"/>
        <charset val="129"/>
      </rPr>
      <t>2가 산출된다.(자동산출됨)</t>
    </r>
    <phoneticPr fontId="5" type="noConversion"/>
  </si>
  <si>
    <r>
      <rPr>
        <sz val="12"/>
        <color rgb="FF0000FF"/>
        <rFont val="돋움"/>
        <family val="3"/>
        <charset val="129"/>
      </rPr>
      <t>α, β</t>
    </r>
    <r>
      <rPr>
        <sz val="10"/>
        <color rgb="FF0000FF"/>
        <rFont val="돋움"/>
        <family val="3"/>
        <charset val="129"/>
      </rPr>
      <t>값 자동 산출됨</t>
    </r>
    <phoneticPr fontId="5" type="noConversion"/>
  </si>
  <si>
    <r>
      <rPr>
        <sz val="9"/>
        <rFont val="맑은 고딕"/>
        <family val="1"/>
        <charset val="129"/>
      </rPr>
      <t xml:space="preserve">  </t>
    </r>
    <r>
      <rPr>
        <sz val="9"/>
        <rFont val="가는각진제목체"/>
        <family val="1"/>
        <charset val="129"/>
      </rPr>
      <t>Es =</t>
    </r>
    <r>
      <rPr>
        <sz val="9"/>
        <rFont val="맑은 고딕"/>
        <family val="1"/>
        <charset val="129"/>
      </rPr>
      <t xml:space="preserve"> 450*N + 3900</t>
    </r>
    <phoneticPr fontId="26" type="noConversion"/>
  </si>
  <si>
    <r>
      <t xml:space="preserve">   Es = </t>
    </r>
    <r>
      <rPr>
        <sz val="9"/>
        <rFont val="맑은 고딕"/>
        <family val="1"/>
        <charset val="129"/>
      </rPr>
      <t>530*</t>
    </r>
    <r>
      <rPr>
        <sz val="9"/>
        <rFont val="가는각진제목체"/>
        <family val="1"/>
        <charset val="129"/>
      </rPr>
      <t xml:space="preserve"> N + </t>
    </r>
    <r>
      <rPr>
        <sz val="9"/>
        <rFont val="맑은 고딕"/>
        <family val="1"/>
        <charset val="129"/>
      </rPr>
      <t>2400</t>
    </r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</si>
  <si>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4</t>
    </r>
    <r>
      <rPr>
        <sz val="9"/>
        <rFont val="가는각진제목체"/>
        <family val="1"/>
        <charset val="129"/>
      </rPr>
      <t>00</t>
    </r>
    <r>
      <rPr>
        <sz val="9"/>
        <rFont val="맑은 고딕"/>
        <family val="1"/>
        <charset val="129"/>
      </rPr>
      <t>*</t>
    </r>
    <r>
      <rPr>
        <sz val="9"/>
        <rFont val="가는각진제목체"/>
        <family val="1"/>
        <charset val="129"/>
      </rPr>
      <t xml:space="preserve"> N</t>
    </r>
    <phoneticPr fontId="5" type="noConversion"/>
  </si>
  <si>
    <t>조립질 모래</t>
    <phoneticPr fontId="26" type="noConversion"/>
  </si>
  <si>
    <r>
      <t xml:space="preserve">   Es = </t>
    </r>
    <r>
      <rPr>
        <sz val="9"/>
        <rFont val="맑은 고딕"/>
        <family val="1"/>
        <charset val="129"/>
      </rPr>
      <t>1,000*</t>
    </r>
    <r>
      <rPr>
        <sz val="9"/>
        <rFont val="가는각진제목체"/>
        <family val="1"/>
        <charset val="129"/>
      </rPr>
      <t xml:space="preserve"> N</t>
    </r>
    <phoneticPr fontId="5" type="noConversion"/>
  </si>
  <si>
    <t xml:space="preserve">   Es = (1,200~1500)* N</t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</si>
  <si>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1500*</t>
    </r>
    <r>
      <rPr>
        <sz val="9"/>
        <rFont val="가는각진제목체"/>
        <family val="1"/>
        <charset val="129"/>
      </rPr>
      <t xml:space="preserve"> N</t>
    </r>
    <r>
      <rPr>
        <sz val="9"/>
        <rFont val="맑은 고딕"/>
        <family val="1"/>
        <charset val="129"/>
      </rPr>
      <t xml:space="preserve"> + 3800</t>
    </r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</si>
  <si>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500</t>
    </r>
    <r>
      <rPr>
        <sz val="9"/>
        <rFont val="가는각진제목체"/>
        <family val="1"/>
        <charset val="129"/>
      </rPr>
      <t>*</t>
    </r>
    <r>
      <rPr>
        <sz val="9"/>
        <rFont val="맑은 고딕"/>
        <family val="1"/>
        <charset val="129"/>
      </rPr>
      <t>(</t>
    </r>
    <r>
      <rPr>
        <sz val="9"/>
        <rFont val="가는각진제목체"/>
        <family val="1"/>
        <charset val="129"/>
      </rPr>
      <t xml:space="preserve"> N</t>
    </r>
    <r>
      <rPr>
        <sz val="9"/>
        <rFont val="맑은 고딕"/>
        <family val="1"/>
        <charset val="129"/>
      </rPr>
      <t xml:space="preserve"> + 15)</t>
    </r>
    <phoneticPr fontId="5" type="noConversion"/>
  </si>
  <si>
    <t>지상</t>
    <phoneticPr fontId="5" type="noConversion"/>
  </si>
  <si>
    <t>구조기술사의 구조안전확인서를 받아 확인해야 합니다.</t>
    <phoneticPr fontId="5" type="noConversion"/>
  </si>
  <si>
    <r>
      <t>하중조건 250kN/m</t>
    </r>
    <r>
      <rPr>
        <vertAlign val="superscript"/>
        <sz val="11"/>
        <color theme="1"/>
        <rFont val="맑은 고딕"/>
        <family val="3"/>
        <charset val="129"/>
      </rPr>
      <t>2</t>
    </r>
    <r>
      <rPr>
        <sz val="11"/>
        <color theme="1"/>
        <rFont val="맑은 고딕"/>
        <family val="3"/>
        <charset val="129"/>
      </rPr>
      <t xml:space="preserve"> 은 PILE기초를 감안하여 적정 하중을 계산하였으며</t>
    </r>
    <phoneticPr fontId="5" type="noConversion"/>
  </si>
  <si>
    <t>qu=N/0.075</t>
  </si>
  <si>
    <t>qu=N/0.075</t>
    <phoneticPr fontId="51" type="noConversion"/>
  </si>
  <si>
    <t>qu=N/0.082</t>
  </si>
  <si>
    <t>qu=N/0.082</t>
    <phoneticPr fontId="51" type="noConversion"/>
  </si>
  <si>
    <t>qu=40+N/0.2</t>
  </si>
  <si>
    <t>qu=40+N/0.2</t>
    <phoneticPr fontId="51" type="noConversion"/>
  </si>
  <si>
    <t>N값</t>
    <phoneticPr fontId="5" type="noConversion"/>
  </si>
  <si>
    <t>Σ</t>
    <phoneticPr fontId="5" type="noConversion"/>
  </si>
  <si>
    <t xml:space="preserve"> 300( N + 6 )</t>
    <phoneticPr fontId="5" type="noConversion"/>
  </si>
  <si>
    <t>보강지반의 총침하량(Si) = 페블테크의 침하량(Sps) + 원지반의 침하량 (S0) + 압밀침하량</t>
    <phoneticPr fontId="5" type="noConversion"/>
  </si>
  <si>
    <t>(1200 ~ 1500) * N</t>
    <phoneticPr fontId="5" type="noConversion"/>
  </si>
  <si>
    <t>530* N + 2400</t>
    <phoneticPr fontId="5" type="noConversion"/>
  </si>
  <si>
    <r>
      <t>kN/m</t>
    </r>
    <r>
      <rPr>
        <vertAlign val="superscript"/>
        <sz val="11"/>
        <rFont val="맑은 고딕"/>
        <family val="3"/>
        <charset val="129"/>
        <scheme val="major"/>
      </rPr>
      <t>2</t>
    </r>
    <phoneticPr fontId="5" type="noConversion"/>
  </si>
  <si>
    <t>또는 한계깊이 이내 기반암이 나와 기반암 1m까지만 산정함</t>
    <phoneticPr fontId="5" type="noConversion"/>
  </si>
  <si>
    <t>매트기초</t>
    <phoneticPr fontId="5" type="noConversion"/>
  </si>
  <si>
    <t>지하수위</t>
    <phoneticPr fontId="5" type="noConversion"/>
  </si>
  <si>
    <t>m</t>
    <phoneticPr fontId="5" type="noConversion"/>
  </si>
  <si>
    <t xml:space="preserve"> 500 * ( N + 15 )</t>
    <phoneticPr fontId="5" type="noConversion"/>
  </si>
  <si>
    <t>매립층,퇴적층 적용</t>
    <phoneticPr fontId="5" type="noConversion"/>
  </si>
  <si>
    <t>풍화토, 풍화암 적용</t>
    <phoneticPr fontId="5" type="noConversion"/>
  </si>
  <si>
    <t>Df &lt; Dw &lt; (B+Df)</t>
    <phoneticPr fontId="5" type="noConversion"/>
  </si>
  <si>
    <t>Df &gt; Dw</t>
    <phoneticPr fontId="5" type="noConversion"/>
  </si>
  <si>
    <t>Dw &gt; Df + B</t>
    <phoneticPr fontId="5" type="noConversion"/>
  </si>
  <si>
    <t>분류기호</t>
    <phoneticPr fontId="5" type="noConversion"/>
  </si>
  <si>
    <t>분류기호</t>
    <phoneticPr fontId="5" type="noConversion"/>
  </si>
  <si>
    <r>
      <t>페블테크 하부에서의 접지압(유효응력) 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</si>
  <si>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r>
      <t xml:space="preserve">기초하부접지응력 
</t>
    </r>
    <r>
      <rPr>
        <b/>
        <sz val="10"/>
        <rFont val="돋움"/>
        <family val="3"/>
        <charset val="129"/>
      </rPr>
      <t>σ</t>
    </r>
    <r>
      <rPr>
        <b/>
        <sz val="8"/>
        <rFont val="돋움"/>
        <family val="3"/>
        <charset val="129"/>
      </rPr>
      <t xml:space="preserve"> (KN/m</t>
    </r>
    <r>
      <rPr>
        <b/>
        <vertAlign val="superscript"/>
        <sz val="8"/>
        <rFont val="돋움"/>
        <family val="3"/>
        <charset val="129"/>
      </rPr>
      <t>2</t>
    </r>
    <r>
      <rPr>
        <b/>
        <sz val="8"/>
        <rFont val="돋움"/>
        <family val="3"/>
        <charset val="129"/>
      </rPr>
      <t>)</t>
    </r>
    <phoneticPr fontId="5" type="noConversion"/>
  </si>
  <si>
    <r>
      <t>두께 H</t>
    </r>
    <r>
      <rPr>
        <b/>
        <vertAlign val="subscript"/>
        <sz val="10"/>
        <rFont val="돋움"/>
        <family val="3"/>
        <charset val="129"/>
      </rPr>
      <t xml:space="preserve">pt
</t>
    </r>
    <r>
      <rPr>
        <b/>
        <sz val="10"/>
        <rFont val="돋움"/>
        <family val="3"/>
        <charset val="129"/>
      </rPr>
      <t>(mm)</t>
    </r>
    <phoneticPr fontId="5" type="noConversion"/>
  </si>
  <si>
    <r>
      <t>σ * H</t>
    </r>
    <r>
      <rPr>
        <vertAlign val="subscript"/>
        <sz val="11"/>
        <rFont val="돋움"/>
        <family val="3"/>
        <charset val="129"/>
      </rPr>
      <t>pt</t>
    </r>
    <phoneticPr fontId="5" type="noConversion"/>
  </si>
  <si>
    <t>( 1 + υ ) * ( 1 - 2υ )</t>
    <phoneticPr fontId="5" type="noConversion"/>
  </si>
  <si>
    <r>
      <t>S</t>
    </r>
    <r>
      <rPr>
        <b/>
        <vertAlign val="subscript"/>
        <sz val="11"/>
        <rFont val="돋움"/>
        <family val="3"/>
        <charset val="129"/>
      </rPr>
      <t>pt</t>
    </r>
    <phoneticPr fontId="5" type="noConversion"/>
  </si>
  <si>
    <r>
      <t>보강지반의 총침하량(Si) = 페블테크의 침하량(S</t>
    </r>
    <r>
      <rPr>
        <b/>
        <vertAlign val="subscript"/>
        <sz val="11"/>
        <rFont val="돋움"/>
        <family val="3"/>
        <charset val="129"/>
      </rPr>
      <t>pt</t>
    </r>
    <r>
      <rPr>
        <b/>
        <sz val="11"/>
        <rFont val="돋움"/>
        <family val="3"/>
        <charset val="129"/>
      </rPr>
      <t>) + 원지반의 침하량 (S</t>
    </r>
    <r>
      <rPr>
        <b/>
        <vertAlign val="subscript"/>
        <sz val="11"/>
        <rFont val="돋움"/>
        <family val="3"/>
        <charset val="129"/>
      </rPr>
      <t>0</t>
    </r>
    <r>
      <rPr>
        <b/>
        <sz val="11"/>
        <rFont val="돋움"/>
        <family val="3"/>
        <charset val="129"/>
      </rPr>
      <t>)</t>
    </r>
    <phoneticPr fontId="5" type="noConversion"/>
  </si>
  <si>
    <t>기초폭(B)</t>
    <phoneticPr fontId="5" type="noConversion"/>
  </si>
  <si>
    <t>기초길이 (L)</t>
    <phoneticPr fontId="5" type="noConversion"/>
  </si>
  <si>
    <r>
      <t>근잎깊이(D'</t>
    </r>
    <r>
      <rPr>
        <b/>
        <vertAlign val="subscript"/>
        <sz val="11"/>
        <rFont val="돋움"/>
        <family val="3"/>
        <charset val="129"/>
      </rPr>
      <t xml:space="preserve">f </t>
    </r>
    <r>
      <rPr>
        <b/>
        <sz val="11"/>
        <rFont val="돋움"/>
        <family val="3"/>
        <charset val="129"/>
      </rPr>
      <t>)</t>
    </r>
    <phoneticPr fontId="5" type="noConversion"/>
  </si>
  <si>
    <r>
      <t>q'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</si>
  <si>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r>
      <t>근잎깊이(D</t>
    </r>
    <r>
      <rPr>
        <b/>
        <vertAlign val="subscript"/>
        <sz val="8"/>
        <rFont val="돋움"/>
        <family val="3"/>
        <charset val="129"/>
      </rPr>
      <t>f</t>
    </r>
    <r>
      <rPr>
        <b/>
        <sz val="8"/>
        <rFont val="돋움"/>
        <family val="3"/>
        <charset val="129"/>
      </rPr>
      <t>)</t>
    </r>
    <phoneticPr fontId="5" type="noConversion"/>
  </si>
  <si>
    <t>지상1층</t>
    <phoneticPr fontId="5" type="noConversion"/>
  </si>
  <si>
    <t>2.원지반 현황</t>
    <phoneticPr fontId="26" type="noConversion"/>
  </si>
  <si>
    <t>2)</t>
    <phoneticPr fontId="5" type="noConversion"/>
  </si>
  <si>
    <r>
      <t xml:space="preserve">내부마찰각           </t>
    </r>
    <r>
      <rPr>
        <b/>
        <sz val="9"/>
        <rFont val="Calibri"/>
        <family val="3"/>
        <charset val="204"/>
      </rPr>
      <t>Ф</t>
    </r>
    <r>
      <rPr>
        <b/>
        <sz val="9"/>
        <rFont val="맑은 고딕"/>
        <family val="3"/>
        <charset val="129"/>
      </rPr>
      <t>(︒)</t>
    </r>
    <phoneticPr fontId="5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</si>
  <si>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0</t>
    </r>
    <r>
      <rPr>
        <sz val="11"/>
        <rFont val="맑은 고딕"/>
        <family val="3"/>
        <charset val="129"/>
        <scheme val="major"/>
      </rPr>
      <t xml:space="preserve"> =</t>
    </r>
    <phoneticPr fontId="5" type="noConversion"/>
  </si>
  <si>
    <t>P x B x L</t>
    <phoneticPr fontId="5" type="noConversion"/>
  </si>
  <si>
    <t>=</t>
    <phoneticPr fontId="5" type="noConversion"/>
  </si>
  <si>
    <t>+</t>
    <phoneticPr fontId="5" type="noConversion"/>
  </si>
  <si>
    <t>x</t>
    <phoneticPr fontId="5" type="noConversion"/>
  </si>
  <si>
    <r>
      <t>페블테크두께 D</t>
    </r>
    <r>
      <rPr>
        <b/>
        <vertAlign val="subscript"/>
        <sz val="9"/>
        <rFont val="맑은 고딕"/>
        <family val="3"/>
        <charset val="129"/>
        <scheme val="major"/>
      </rPr>
      <t>pt</t>
    </r>
    <r>
      <rPr>
        <b/>
        <sz val="9"/>
        <rFont val="맑은 고딕"/>
        <family val="3"/>
        <charset val="129"/>
        <scheme val="major"/>
      </rPr>
      <t xml:space="preserve">
(mm)</t>
    </r>
    <phoneticPr fontId="5" type="noConversion"/>
  </si>
  <si>
    <t>설계하중 P
(Kpa)</t>
    <phoneticPr fontId="5" type="noConversion"/>
  </si>
  <si>
    <r>
      <t>근입 깊이 D</t>
    </r>
    <r>
      <rPr>
        <b/>
        <vertAlign val="subscript"/>
        <sz val="9"/>
        <rFont val="맑은 고딕"/>
        <family val="3"/>
        <charset val="129"/>
        <scheme val="major"/>
      </rPr>
      <t>f</t>
    </r>
    <r>
      <rPr>
        <b/>
        <sz val="9"/>
        <rFont val="맑은 고딕"/>
        <family val="3"/>
        <charset val="129"/>
        <scheme val="major"/>
      </rPr>
      <t xml:space="preserve">
(m) </t>
    </r>
    <phoneticPr fontId="5" type="noConversion"/>
  </si>
  <si>
    <r>
      <t>2 x D</t>
    </r>
    <r>
      <rPr>
        <vertAlign val="subscript"/>
        <sz val="11"/>
        <rFont val="맑은 고딕"/>
        <family val="3"/>
        <charset val="129"/>
        <scheme val="major"/>
      </rPr>
      <t>pt</t>
    </r>
    <r>
      <rPr>
        <sz val="11"/>
        <rFont val="맑은 고딕"/>
        <family val="3"/>
        <charset val="129"/>
        <scheme val="major"/>
      </rPr>
      <t xml:space="preserve"> x tan</t>
    </r>
    <r>
      <rPr>
        <sz val="11"/>
        <rFont val="Calibri"/>
        <family val="3"/>
        <charset val="204"/>
      </rPr>
      <t>Ф</t>
    </r>
    <phoneticPr fontId="5" type="noConversion"/>
  </si>
  <si>
    <t>가중점착력</t>
    <phoneticPr fontId="5" type="noConversion"/>
  </si>
  <si>
    <t>원지반 대표상수</t>
    <phoneticPr fontId="26" type="noConversion"/>
  </si>
  <si>
    <t>하중감소</t>
    <phoneticPr fontId="5" type="noConversion"/>
  </si>
  <si>
    <t>xx</t>
    <phoneticPr fontId="5" type="noConversion"/>
  </si>
  <si>
    <t>보강지반의
 변형량</t>
    <phoneticPr fontId="5" type="noConversion"/>
  </si>
  <si>
    <t>4)</t>
    <phoneticPr fontId="5" type="noConversion"/>
  </si>
  <si>
    <t>(B + Z') x (L + Z')</t>
    <phoneticPr fontId="5" type="noConversion"/>
  </si>
  <si>
    <t>Z'</t>
    <phoneticPr fontId="5" type="noConversion"/>
  </si>
  <si>
    <t>(B + Z') * (L + Z')</t>
    <phoneticPr fontId="5" type="noConversion"/>
  </si>
  <si>
    <t>의 점착력</t>
    <phoneticPr fontId="51" type="noConversion"/>
  </si>
  <si>
    <t>(C =</t>
    <phoneticPr fontId="5" type="noConversion"/>
  </si>
  <si>
    <t>KN/m2 으로 산입)</t>
    <phoneticPr fontId="5" type="noConversion"/>
  </si>
  <si>
    <t>의  내부마찰각</t>
    <phoneticPr fontId="51" type="noConversion"/>
  </si>
  <si>
    <t xml:space="preserve">(Ф = </t>
    <phoneticPr fontId="5" type="noConversion"/>
  </si>
  <si>
    <r>
      <rPr>
        <sz val="10"/>
        <rFont val="맑은 고딕"/>
        <family val="3"/>
        <charset val="129"/>
      </rPr>
      <t>︒</t>
    </r>
    <r>
      <rPr>
        <sz val="10"/>
        <rFont val="돋움"/>
        <family val="3"/>
        <charset val="129"/>
      </rPr>
      <t xml:space="preserve"> 으로 산입)</t>
    </r>
    <phoneticPr fontId="5" type="noConversion"/>
  </si>
  <si>
    <r>
      <t>Ф =45</t>
    </r>
    <r>
      <rPr>
        <sz val="10"/>
        <color theme="1"/>
        <rFont val="Microsoft YaHei"/>
        <family val="2"/>
        <charset val="134"/>
      </rPr>
      <t>︒</t>
    </r>
    <r>
      <rPr>
        <sz val="10"/>
        <color theme="1"/>
        <rFont val="돋움"/>
        <family val="3"/>
        <charset val="129"/>
      </rPr>
      <t xml:space="preserve"> 으로 산입</t>
    </r>
    <phoneticPr fontId="5" type="noConversion"/>
  </si>
  <si>
    <r>
      <rPr>
        <sz val="14"/>
        <rFont val="Calibri"/>
        <family val="2"/>
      </rPr>
      <t>α</t>
    </r>
    <r>
      <rPr>
        <sz val="12.65"/>
        <rFont val="맑은 고딕"/>
        <family val="3"/>
        <charset val="129"/>
      </rPr>
      <t xml:space="preserve"> = </t>
    </r>
    <r>
      <rPr>
        <sz val="12.65"/>
        <rFont val="Calibri"/>
        <family val="3"/>
        <charset val="204"/>
      </rPr>
      <t>Ф</t>
    </r>
    <r>
      <rPr>
        <sz val="11"/>
        <rFont val="맑은 고딕"/>
        <family val="3"/>
        <charset val="161"/>
      </rPr>
      <t xml:space="preserve"> (페블테크의 내부마찰각 45</t>
    </r>
    <r>
      <rPr>
        <sz val="11"/>
        <rFont val="맑은 고딕"/>
        <family val="3"/>
        <charset val="129"/>
      </rPr>
      <t>︒</t>
    </r>
    <r>
      <rPr>
        <sz val="12.65"/>
        <rFont val="맑은 고딕"/>
        <family val="3"/>
        <charset val="129"/>
      </rPr>
      <t>)</t>
    </r>
    <phoneticPr fontId="5" type="noConversion"/>
  </si>
  <si>
    <t xml:space="preserve">포아송비   </t>
    <phoneticPr fontId="5" type="noConversion"/>
  </si>
  <si>
    <t>ν</t>
    <phoneticPr fontId="5" type="noConversion"/>
  </si>
  <si>
    <r>
      <rPr>
        <b/>
        <sz val="11"/>
        <color theme="1"/>
        <rFont val="Calibri"/>
        <family val="2"/>
      </rPr>
      <t>γ</t>
    </r>
    <r>
      <rPr>
        <b/>
        <sz val="9"/>
        <color theme="1"/>
        <rFont val="맑은 고딕"/>
        <family val="3"/>
        <charset val="129"/>
      </rPr>
      <t>t (</t>
    </r>
    <r>
      <rPr>
        <b/>
        <sz val="9"/>
        <color theme="1"/>
        <rFont val="맑은 고딕"/>
        <family val="3"/>
        <charset val="129"/>
        <scheme val="minor"/>
      </rPr>
      <t>KN/</t>
    </r>
    <r>
      <rPr>
        <b/>
        <sz val="9"/>
        <color theme="1"/>
        <rFont val="Calibri"/>
        <family val="3"/>
      </rPr>
      <t>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맑은 고딕"/>
        <family val="3"/>
        <charset val="129"/>
        <scheme val="minor"/>
      </rPr>
      <t>)</t>
    </r>
    <phoneticPr fontId="5" type="noConversion"/>
  </si>
  <si>
    <t>C (kN/㎡)</t>
    <phoneticPr fontId="5" type="noConversion"/>
  </si>
  <si>
    <t>E (kN/㎡)</t>
    <phoneticPr fontId="5" type="noConversion"/>
  </si>
  <si>
    <t xml:space="preserve">5) </t>
    <phoneticPr fontId="5" type="noConversion"/>
  </si>
  <si>
    <t>지하수영향으로 인한 단위중량 산정</t>
    <phoneticPr fontId="5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</si>
  <si>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w</t>
    </r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</si>
  <si>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</si>
  <si>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</si>
  <si>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</t>
    </r>
    <phoneticPr fontId="21" type="noConversion"/>
  </si>
  <si>
    <t>B</t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</si>
  <si>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</si>
  <si>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기초의 영향범위</t>
    <phoneticPr fontId="21" type="noConversion"/>
  </si>
  <si>
    <t>CASE1</t>
    <phoneticPr fontId="21" type="noConversion"/>
  </si>
  <si>
    <t>CASE2</t>
    <phoneticPr fontId="21" type="noConversion"/>
  </si>
  <si>
    <t>CASE3</t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</si>
  <si>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CASE1 : </t>
    </r>
    <r>
      <rPr>
        <sz val="9"/>
        <color indexed="8"/>
        <rFont val="맑은 고딕"/>
        <family val="3"/>
        <charset val="129"/>
      </rPr>
      <t>기초바닥이 지하수위 아래에 위치할 경우 (D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≤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인 경우)</t>
    </r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</si>
  <si>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</si>
  <si>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t>=</t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</si>
  <si>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1</t>
    </r>
    <r>
      <rPr>
        <sz val="9"/>
        <color indexed="8"/>
        <rFont val="맑은 고딕"/>
        <family val="3"/>
        <charset val="129"/>
      </rPr>
      <t xml:space="preserve"> ∙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+ γ</t>
    </r>
    <r>
      <rPr>
        <vertAlign val="subscript"/>
        <sz val="9"/>
        <color indexed="8"/>
        <rFont val="맑은 고딕"/>
        <family val="3"/>
        <charset val="129"/>
      </rPr>
      <t>1</t>
    </r>
    <r>
      <rPr>
        <sz val="9"/>
        <color indexed="8"/>
        <rFont val="맑은 고딕"/>
        <family val="3"/>
        <charset val="129"/>
      </rPr>
      <t>′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-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</si>
  <si>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kN/m</t>
    </r>
    <r>
      <rPr>
        <vertAlign val="superscript"/>
        <sz val="9"/>
        <color indexed="8"/>
        <rFont val="맑은 고딕"/>
        <family val="3"/>
        <charset val="129"/>
      </rPr>
      <t>2</t>
    </r>
    <phoneticPr fontId="21" type="noConversion"/>
  </si>
  <si>
    <t>(기초상부)</t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</si>
  <si>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′</t>
    </r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</si>
  <si>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 sat</t>
    </r>
    <r>
      <rPr>
        <sz val="9"/>
        <color indexed="8"/>
        <rFont val="맑은 고딕"/>
        <family val="3"/>
        <charset val="129"/>
      </rPr>
      <t xml:space="preserve"> - γ</t>
    </r>
    <r>
      <rPr>
        <vertAlign val="subscript"/>
        <sz val="9"/>
        <color indexed="8"/>
        <rFont val="맑은 고딕"/>
        <family val="3"/>
        <charset val="129"/>
      </rPr>
      <t>w</t>
    </r>
    <phoneticPr fontId="21" type="noConversion"/>
  </si>
  <si>
    <r>
      <t>kN/m</t>
    </r>
    <r>
      <rPr>
        <vertAlign val="superscript"/>
        <sz val="9"/>
        <color indexed="8"/>
        <rFont val="맑은 고딕"/>
        <family val="3"/>
        <charset val="129"/>
      </rPr>
      <t>3</t>
    </r>
    <phoneticPr fontId="21" type="noConversion"/>
  </si>
  <si>
    <t>(기초하부)</t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</si>
  <si>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CASE2 : </t>
    </r>
    <r>
      <rPr>
        <sz val="9"/>
        <color indexed="8"/>
        <rFont val="맑은 고딕"/>
        <family val="3"/>
        <charset val="129"/>
      </rPr>
      <t>지하수위가 기초바닥과 기초의 영향범위 사이에 위치할 경우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&lt;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≤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 인 경우)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</si>
  <si>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 xml:space="preserve">1 t </t>
    </r>
    <r>
      <rPr>
        <sz val="9"/>
        <color indexed="8"/>
        <rFont val="맑은 고딕"/>
        <family val="3"/>
        <charset val="129"/>
      </rPr>
      <t>∙ 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</si>
  <si>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 xml:space="preserve"> {γ</t>
    </r>
    <r>
      <rPr>
        <vertAlign val="subscript"/>
        <sz val="9"/>
        <color indexed="8"/>
        <rFont val="맑은 고딕"/>
        <family val="3"/>
        <charset val="129"/>
      </rPr>
      <t xml:space="preserve">2 t </t>
    </r>
    <r>
      <rPr>
        <sz val="9"/>
        <color indexed="8"/>
        <rFont val="맑은 고딕"/>
        <family val="3"/>
        <charset val="129"/>
      </rPr>
      <t>∙ (D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-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) + γ</t>
    </r>
    <r>
      <rPr>
        <vertAlign val="sub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′(D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-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>)} / B</t>
    </r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</si>
  <si>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CASE3 : </t>
    </r>
    <r>
      <rPr>
        <sz val="9"/>
        <color indexed="8"/>
        <rFont val="맑은 고딕"/>
        <family val="3"/>
        <charset val="129"/>
      </rPr>
      <t>지하수위가 기초의 영향범위(D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B) 보다 깊게 위치할 경우 (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&gt;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 인 경우)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</si>
  <si>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1t</t>
    </r>
    <r>
      <rPr>
        <sz val="9"/>
        <color indexed="8"/>
        <rFont val="맑은 고딕"/>
        <family val="3"/>
        <charset val="129"/>
      </rPr>
      <t xml:space="preserve"> ∙ 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</si>
  <si>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2t</t>
    </r>
    <r>
      <rPr>
        <sz val="10"/>
        <color indexed="8"/>
        <rFont val="가는각진제목체"/>
        <family val="1"/>
        <charset val="129"/>
      </rPr>
      <t/>
    </r>
    <phoneticPr fontId="21" type="noConversion"/>
  </si>
  <si>
    <t>WR</t>
    <phoneticPr fontId="5" type="noConversion"/>
  </si>
  <si>
    <r>
      <t>q</t>
    </r>
    <r>
      <rPr>
        <b/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</si>
  <si>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r>
      <t>γ</t>
    </r>
    <r>
      <rPr>
        <b/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</si>
  <si>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∴</t>
    <phoneticPr fontId="5" type="noConversion"/>
  </si>
  <si>
    <r>
      <t>q</t>
    </r>
    <r>
      <rPr>
        <b/>
        <vertAlign val="subscript"/>
        <sz val="11"/>
        <rFont val="돋움"/>
        <family val="3"/>
        <charset val="129"/>
      </rPr>
      <t>1</t>
    </r>
    <phoneticPr fontId="5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</si>
  <si>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u</t>
    </r>
    <phoneticPr fontId="21" type="noConversion"/>
  </si>
  <si>
    <t>+</t>
  </si>
  <si>
    <t>×</t>
    <phoneticPr fontId="21" type="noConversion"/>
  </si>
  <si>
    <t>+</t>
    <phoneticPr fontId="21" type="noConversion"/>
  </si>
  <si>
    <r>
      <t>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</si>
  <si>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a</t>
    </r>
    <phoneticPr fontId="21" type="noConversion"/>
  </si>
  <si>
    <t>/</t>
    <phoneticPr fontId="21" type="noConversion"/>
  </si>
  <si>
    <t>P</t>
    <phoneticPr fontId="5" type="noConversion"/>
  </si>
  <si>
    <r>
      <t>P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</si>
  <si>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r>
      <t>αㆍcㆍNc  +  βㆍγ1ㆍBㆍNr  +  q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>ㆍNq</t>
    </r>
    <phoneticPr fontId="5" type="noConversion"/>
  </si>
  <si>
    <t xml:space="preserve"> 1) Terzaghi 지지력 공식 (구조물기초 설계기준 해설 2009, p186)</t>
    <phoneticPr fontId="26" type="noConversion"/>
  </si>
  <si>
    <t xml:space="preserve"> Terzaghi 지지력 공식 (구조물기초 설계기준 해설 2009, p186)</t>
    <phoneticPr fontId="26" type="noConversion"/>
  </si>
  <si>
    <t xml:space="preserve"> 2) Meyerhof 지지력 공식 (구조물기초 설계기준 해설 2009, p191)</t>
    <phoneticPr fontId="26" type="noConversion"/>
  </si>
  <si>
    <r>
      <t>c ∙ N</t>
    </r>
    <r>
      <rPr>
        <vertAlign val="subscript"/>
        <sz val="9"/>
        <rFont val="맑은 고딕"/>
        <family val="3"/>
        <charset val="129"/>
      </rPr>
      <t>c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N"/>
        <family val="3"/>
        <charset val="134"/>
      </rPr>
      <t>c</t>
    </r>
    <r>
      <rPr>
        <sz val="9"/>
        <rFont val="N"/>
        <family val="3"/>
        <charset val="134"/>
      </rPr>
      <t xml:space="preserve"> </t>
    </r>
    <r>
      <rPr>
        <sz val="9"/>
        <rFont val="맑은 고딕"/>
        <family val="3"/>
        <charset val="129"/>
      </rPr>
      <t>∙</t>
    </r>
    <r>
      <rPr>
        <sz val="9"/>
        <rFont val="N"/>
        <family val="3"/>
        <charset val="134"/>
      </rPr>
      <t xml:space="preserve"> </t>
    </r>
    <r>
      <rPr>
        <sz val="9"/>
        <rFont val="맑은 고딕"/>
        <family val="3"/>
        <charset val="129"/>
      </rPr>
      <t>d</t>
    </r>
    <r>
      <rPr>
        <vertAlign val="subscript"/>
        <sz val="9"/>
        <rFont val="맑은 고딕"/>
        <family val="3"/>
        <charset val="129"/>
      </rPr>
      <t>c</t>
    </r>
    <r>
      <rPr>
        <sz val="9"/>
        <rFont val="맑은 고딕"/>
        <family val="3"/>
        <charset val="129"/>
      </rPr>
      <t xml:space="preserve">  +  q ∙ 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∙ d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 +  0.5 ∙ γ ∙ B ∙ N</t>
    </r>
    <r>
      <rPr>
        <vertAlign val="subscript"/>
        <sz val="9"/>
        <rFont val="맑은 고딕"/>
        <family val="3"/>
        <charset val="129"/>
      </rPr>
      <t>r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맑은 고딕"/>
        <family val="3"/>
        <charset val="129"/>
      </rPr>
      <t>r</t>
    </r>
    <r>
      <rPr>
        <sz val="9"/>
        <rFont val="맑은 고딕"/>
        <family val="3"/>
        <charset val="129"/>
      </rPr>
      <t xml:space="preserve"> ∙ d</t>
    </r>
    <r>
      <rPr>
        <vertAlign val="subscript"/>
        <sz val="9"/>
        <rFont val="맑은 고딕"/>
        <family val="3"/>
        <charset val="129"/>
      </rPr>
      <t>r</t>
    </r>
    <phoneticPr fontId="21" type="noConversion"/>
  </si>
  <si>
    <t xml:space="preserve">여기서, </t>
  </si>
  <si>
    <r>
      <t>c : 지반의 점착력 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</si>
  <si>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>B′ : 하중의 편심을 고려한 기초의 유효재하 폭 (m)</t>
    <phoneticPr fontId="21" type="noConversion"/>
  </si>
  <si>
    <r>
      <t>B′= B - 2e</t>
    </r>
    <r>
      <rPr>
        <vertAlign val="subscript"/>
        <sz val="9"/>
        <color indexed="8"/>
        <rFont val="맑은 고딕"/>
        <family val="3"/>
        <charset val="129"/>
      </rPr>
      <t>B</t>
    </r>
    <r>
      <rPr>
        <sz val="9"/>
        <color indexed="8"/>
        <rFont val="맑은 고딕"/>
        <family val="3"/>
        <charset val="129"/>
      </rPr>
      <t xml:space="preserve">  (B : 기초의 폭,  e</t>
    </r>
    <r>
      <rPr>
        <vertAlign val="subscript"/>
        <sz val="9"/>
        <color indexed="8"/>
        <rFont val="맑은 고딕"/>
        <family val="3"/>
        <charset val="129"/>
      </rPr>
      <t>B</t>
    </r>
    <r>
      <rPr>
        <sz val="9"/>
        <color indexed="8"/>
        <rFont val="맑은 고딕"/>
        <family val="3"/>
        <charset val="129"/>
      </rPr>
      <t xml:space="preserve"> : 하중의 편심량)</t>
    </r>
    <phoneticPr fontId="21" type="noConversion"/>
  </si>
  <si>
    <r>
      <t>N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N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N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지지력 계수</t>
    </r>
    <phoneticPr fontId="21" type="noConversion"/>
  </si>
  <si>
    <r>
      <t>s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s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s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기초의 형상계수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</si>
  <si>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d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d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근입깊이 계수</t>
    </r>
    <phoneticPr fontId="21" type="noConversion"/>
  </si>
  <si>
    <t>☞  기초의 지지력계수 산정</t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</si>
  <si>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</si>
  <si>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(N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- 1) ∙ cotφ</t>
    </r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</si>
  <si>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q</t>
    </r>
    <r>
      <rPr>
        <sz val="10"/>
        <rFont val="가는각진제목체"/>
        <family val="1"/>
        <charset val="129"/>
      </rPr>
      <t/>
    </r>
    <phoneticPr fontId="26" type="noConversion"/>
  </si>
  <si>
    <r>
      <t>tan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(45 + φ/2) ∙ e</t>
    </r>
    <r>
      <rPr>
        <vertAlign val="superscript"/>
        <sz val="9"/>
        <rFont val="맑은 고딕"/>
        <family val="3"/>
        <charset val="129"/>
      </rPr>
      <t>π∙tanφ</t>
    </r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</si>
  <si>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r</t>
    </r>
    <r>
      <rPr>
        <sz val="10"/>
        <rFont val="가는각진제목체"/>
        <family val="1"/>
        <charset val="129"/>
      </rPr>
      <t/>
    </r>
    <phoneticPr fontId="26" type="noConversion"/>
  </si>
  <si>
    <r>
      <t>(N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- 1) ∙ tan(1.4φ)</t>
    </r>
    <phoneticPr fontId="21" type="noConversion"/>
  </si>
  <si>
    <t>☞  기초의 형상계수 산정</t>
    <phoneticPr fontId="21" type="noConversion"/>
  </si>
  <si>
    <r>
      <t>s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</si>
  <si>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1 + 0.2N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(B/L)</t>
    </r>
    <phoneticPr fontId="21" type="noConversion"/>
  </si>
  <si>
    <t>(모든 φ에 대하여 적용)</t>
    <phoneticPr fontId="21" type="noConversion"/>
  </si>
  <si>
    <r>
      <t>s</t>
    </r>
    <r>
      <rPr>
        <vertAlign val="subscript"/>
        <sz val="9"/>
        <rFont val="맑은 고딕"/>
        <family val="3"/>
        <charset val="129"/>
      </rPr>
      <t>q</t>
    </r>
    <phoneticPr fontId="26" type="noConversion"/>
  </si>
  <si>
    <r>
      <t>s</t>
    </r>
    <r>
      <rPr>
        <vertAlign val="subscript"/>
        <sz val="9"/>
        <rFont val="맑은 고딕"/>
        <family val="3"/>
        <charset val="129"/>
      </rPr>
      <t>r</t>
    </r>
    <phoneticPr fontId="26" type="noConversion"/>
  </si>
  <si>
    <t>(φ = 0˚ 인 경우에 대하여 적용)</t>
    <phoneticPr fontId="21" type="noConversion"/>
  </si>
  <si>
    <r>
      <t>1 + 0.1N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(B/L)</t>
    </r>
    <phoneticPr fontId="21" type="noConversion"/>
  </si>
  <si>
    <t>(φ &gt; 10˚ 인 경우에 대하여 적용)</t>
    <phoneticPr fontId="21" type="noConversion"/>
  </si>
  <si>
    <t>여기서,</t>
    <phoneticPr fontId="21" type="noConversion"/>
  </si>
  <si>
    <r>
      <t>N</t>
    </r>
    <r>
      <rPr>
        <vertAlign val="subscript"/>
        <sz val="9"/>
        <color indexed="8"/>
        <rFont val="맑은 고딕"/>
        <family val="3"/>
        <charset val="129"/>
      </rPr>
      <t>φ</t>
    </r>
    <phoneticPr fontId="21" type="noConversion"/>
  </si>
  <si>
    <r>
      <t>tan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(45 + φ/2)</t>
    </r>
    <phoneticPr fontId="21" type="noConversion"/>
  </si>
  <si>
    <t>☞  기초의 근입깊이계수 산정</t>
    <phoneticPr fontId="21" type="noConversion"/>
  </si>
  <si>
    <r>
      <t>d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</si>
  <si>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1 + 0.2√N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/B)</t>
    </r>
    <phoneticPr fontId="21" type="noConversion"/>
  </si>
  <si>
    <r>
      <t>d</t>
    </r>
    <r>
      <rPr>
        <vertAlign val="subscript"/>
        <sz val="9"/>
        <rFont val="맑은 고딕"/>
        <family val="3"/>
        <charset val="129"/>
      </rPr>
      <t>q</t>
    </r>
    <phoneticPr fontId="26" type="noConversion"/>
  </si>
  <si>
    <r>
      <t>d</t>
    </r>
    <r>
      <rPr>
        <vertAlign val="subscript"/>
        <sz val="9"/>
        <rFont val="맑은 고딕"/>
        <family val="3"/>
        <charset val="129"/>
      </rPr>
      <t>r</t>
    </r>
    <phoneticPr fontId="26" type="noConversion"/>
  </si>
  <si>
    <r>
      <t>1 + 0.1√N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/B)</t>
    </r>
    <phoneticPr fontId="21" type="noConversion"/>
  </si>
  <si>
    <t>☞  지지력 산정</t>
    <phoneticPr fontId="21" type="noConversion"/>
  </si>
  <si>
    <t>Schmertmann 제안식 (N치를 적용한 변형계수 산정)</t>
    <phoneticPr fontId="5" type="noConversion"/>
  </si>
  <si>
    <t>① 페블테크 시공 후 보강지반의 지지력</t>
    <phoneticPr fontId="5" type="noConversion"/>
  </si>
  <si>
    <t>② 보강재 적용시 허용지지력 산정</t>
    <phoneticPr fontId="26" type="noConversion"/>
  </si>
  <si>
    <t xml:space="preserve"> 1) Use of Reinforced Soil Foundation(RSF) to Support Shallow Foundation</t>
    <phoneticPr fontId="26" type="noConversion"/>
  </si>
  <si>
    <t>(FHWA/LA.08/424참조)</t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</si>
  <si>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u</t>
    </r>
    <r>
      <rPr>
        <vertAlign val="subscript"/>
        <sz val="9"/>
        <color rgb="FF000000"/>
        <rFont val="맑은 고딕"/>
        <family val="3"/>
        <charset val="129"/>
      </rPr>
      <t>(R)</t>
    </r>
    <phoneticPr fontId="21" type="noConversion"/>
  </si>
  <si>
    <r>
      <t>q</t>
    </r>
    <r>
      <rPr>
        <vertAlign val="subscript"/>
        <sz val="9"/>
        <color rgb="FF000000"/>
        <rFont val="맑은 고딕"/>
        <family val="3"/>
        <charset val="129"/>
      </rPr>
      <t>u(UR)</t>
    </r>
    <r>
      <rPr>
        <sz val="9"/>
        <color indexed="8"/>
        <rFont val="맑은 고딕"/>
        <family val="3"/>
        <charset val="129"/>
      </rPr>
      <t xml:space="preserve"> + </t>
    </r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</si>
  <si>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t>여기서,</t>
  </si>
  <si>
    <r>
      <t>q</t>
    </r>
    <r>
      <rPr>
        <vertAlign val="subscript"/>
        <sz val="9"/>
        <color rgb="FF000000"/>
        <rFont val="맑은 고딕"/>
        <family val="3"/>
        <charset val="129"/>
      </rPr>
      <t>u(R)</t>
    </r>
    <r>
      <rPr>
        <sz val="9"/>
        <color indexed="8"/>
        <rFont val="맑은 고딕"/>
        <family val="3"/>
        <charset val="129"/>
      </rPr>
      <t xml:space="preserve"> : 보강재 설치 시 극한지지력(kN/m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</si>
  <si>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q</t>
    </r>
    <r>
      <rPr>
        <vertAlign val="subscript"/>
        <sz val="9"/>
        <color rgb="FF000000"/>
        <rFont val="맑은 고딕"/>
        <family val="3"/>
        <charset val="129"/>
      </rPr>
      <t>u(UR)</t>
    </r>
    <r>
      <rPr>
        <sz val="9"/>
        <color indexed="8"/>
        <rFont val="맑은 고딕"/>
        <family val="3"/>
        <charset val="129"/>
      </rPr>
      <t xml:space="preserve"> : 원지반 극한지지력(kN/m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</si>
  <si>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: 보강재의 인장력에 의해 증가된 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rgb="FF000000"/>
        <rFont val="맑은 고딕"/>
        <family val="3"/>
        <charset val="129"/>
      </rPr>
      <t>)</t>
    </r>
    <phoneticPr fontId="21" type="noConversion"/>
  </si>
  <si>
    <r>
      <rPr>
        <sz val="16"/>
        <color rgb="FF000000"/>
        <rFont val="Calibri"/>
        <family val="2"/>
      </rPr>
      <t>r</t>
    </r>
    <r>
      <rPr>
        <vertAlign val="subscript"/>
        <sz val="16"/>
        <color rgb="FF000000"/>
        <rFont val="Calibri"/>
        <family val="2"/>
      </rPr>
      <t>T</t>
    </r>
    <phoneticPr fontId="21" type="noConversion"/>
  </si>
  <si>
    <t xml:space="preserve">tan(  45  - </t>
    <phoneticPr fontId="21" type="noConversion"/>
  </si>
  <si>
    <r>
      <t>H</t>
    </r>
    <r>
      <rPr>
        <vertAlign val="subscript"/>
        <sz val="9"/>
        <color rgb="FF000000"/>
        <rFont val="맑은 고딕"/>
        <family val="3"/>
        <charset val="129"/>
      </rPr>
      <t>f</t>
    </r>
    <phoneticPr fontId="21" type="noConversion"/>
  </si>
  <si>
    <t>i</t>
    <phoneticPr fontId="21" type="noConversion"/>
  </si>
  <si>
    <t>,</t>
    <phoneticPr fontId="21" type="noConversion"/>
  </si>
  <si>
    <t>-</t>
    <phoneticPr fontId="21" type="noConversion"/>
  </si>
  <si>
    <t>1 )</t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</si>
  <si>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T(1)</t>
    </r>
    <r>
      <rPr>
        <sz val="9"/>
        <color rgb="FF000000"/>
        <rFont val="맑은 고딕"/>
        <family val="3"/>
        <charset val="129"/>
      </rPr>
      <t xml:space="preserve"> =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</si>
  <si>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T(2)</t>
    </r>
    <r>
      <rPr>
        <sz val="9"/>
        <color rgb="FF000000"/>
        <rFont val="맑은 고딕"/>
        <family val="3"/>
        <charset val="129"/>
      </rPr>
      <t xml:space="preserve"> =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</si>
  <si>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</si>
  <si>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T(1)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</si>
  <si>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T(2)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</si>
  <si>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T(3)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</si>
  <si>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(</t>
    </r>
    <r>
      <rPr>
        <sz val="9"/>
        <color rgb="FF000000"/>
        <rFont val="Calibri"/>
        <family val="3"/>
      </rPr>
      <t>a)</t>
    </r>
    <phoneticPr fontId="21" type="noConversion"/>
  </si>
  <si>
    <t>÷</t>
    <phoneticPr fontId="21" type="noConversion"/>
  </si>
  <si>
    <t>F.S</t>
    <phoneticPr fontId="21" type="noConversion"/>
  </si>
  <si>
    <t>보강재극한인장강도 Tu</t>
    <phoneticPr fontId="5" type="noConversion"/>
  </si>
  <si>
    <t>보강재허용인장강도 Ta=Tu/2</t>
    <phoneticPr fontId="5" type="noConversion"/>
  </si>
  <si>
    <t>kN/m</t>
    <phoneticPr fontId="21" type="noConversion"/>
  </si>
  <si>
    <t>∴ 허용지지력 산정결과</t>
    <phoneticPr fontId="26" type="noConversion"/>
  </si>
  <si>
    <t>구분</t>
    <phoneticPr fontId="21" type="noConversion"/>
  </si>
  <si>
    <t>이론적 방법에 의한 지지력</t>
    <phoneticPr fontId="21" type="noConversion"/>
  </si>
  <si>
    <r>
      <t>보강시 증가 
지지력(</t>
    </r>
    <r>
      <rPr>
        <b/>
        <sz val="9"/>
        <color rgb="FF000000"/>
        <rFont val="Calibri"/>
        <family val="3"/>
        <charset val="161"/>
      </rPr>
      <t>Δ</t>
    </r>
    <r>
      <rPr>
        <b/>
        <sz val="9"/>
        <color rgb="FF000000"/>
        <rFont val="맑은 고딕"/>
        <family val="3"/>
        <charset val="129"/>
      </rPr>
      <t>q</t>
    </r>
    <r>
      <rPr>
        <b/>
        <vertAlign val="subscript"/>
        <sz val="9"/>
        <color rgb="FF000000"/>
        <rFont val="맑은 고딕"/>
        <family val="3"/>
        <charset val="129"/>
      </rPr>
      <t>T</t>
    </r>
    <r>
      <rPr>
        <b/>
        <sz val="9"/>
        <color rgb="FF000000"/>
        <rFont val="맑은 고딕"/>
        <family val="3"/>
        <charset val="129"/>
      </rPr>
      <t>)</t>
    </r>
    <phoneticPr fontId="21" type="noConversion"/>
  </si>
  <si>
    <t>허용지지력</t>
    <phoneticPr fontId="21" type="noConversion"/>
  </si>
  <si>
    <t>검토결과</t>
    <phoneticPr fontId="21" type="noConversion"/>
  </si>
  <si>
    <t>Terzaghi</t>
    <phoneticPr fontId="21" type="noConversion"/>
  </si>
  <si>
    <t>Meyerhof</t>
    <phoneticPr fontId="21" type="noConversion"/>
  </si>
  <si>
    <t>평상시</t>
    <phoneticPr fontId="21" type="noConversion"/>
  </si>
  <si>
    <t xml:space="preserve"> 1) Schmertmann의 제안식 (구조물기초 설계기준해설 2009, p252)</t>
    <phoneticPr fontId="26" type="noConversion"/>
  </si>
  <si>
    <t>S</t>
    <phoneticPr fontId="21" type="noConversion"/>
  </si>
  <si>
    <r>
      <t>C</t>
    </r>
    <r>
      <rPr>
        <vertAlign val="subscript"/>
        <sz val="9"/>
        <rFont val="맑은 고딕"/>
        <family val="3"/>
        <charset val="129"/>
      </rPr>
      <t>1</t>
    </r>
    <r>
      <rPr>
        <sz val="9"/>
        <rFont val="맑은 고딕"/>
        <family val="3"/>
        <charset val="129"/>
      </rPr>
      <t xml:space="preserve"> ∙ C</t>
    </r>
    <r>
      <rPr>
        <vertAlign val="sub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 xml:space="preserve"> ∙ Δq ∙ Σ (I</t>
    </r>
    <r>
      <rPr>
        <vertAlign val="subscript"/>
        <sz val="9"/>
        <rFont val="맑은 고딕"/>
        <family val="3"/>
        <charset val="129"/>
      </rPr>
      <t>z</t>
    </r>
    <r>
      <rPr>
        <sz val="9"/>
        <rFont val="맑은 고딕"/>
        <family val="3"/>
        <charset val="129"/>
      </rPr>
      <t xml:space="preserve"> ∙ Δz / E</t>
    </r>
    <r>
      <rPr>
        <vertAlign val="subscript"/>
        <sz val="9"/>
        <rFont val="맑은 고딕"/>
        <family val="3"/>
        <charset val="129"/>
      </rPr>
      <t>s</t>
    </r>
    <r>
      <rPr>
        <sz val="9"/>
        <rFont val="맑은 고딕"/>
        <family val="3"/>
        <charset val="129"/>
      </rPr>
      <t>)</t>
    </r>
    <phoneticPr fontId="26" type="noConversion"/>
  </si>
  <si>
    <r>
      <t>C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</si>
  <si>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t>: 기초 근입깊이에 대한 보정계수</t>
    <phoneticPr fontId="21" type="noConversion"/>
  </si>
  <si>
    <r>
      <t>C</t>
    </r>
    <r>
      <rPr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</si>
  <si>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: 지반의 Creep에 대한 보정계수</t>
    <phoneticPr fontId="21" type="noConversion"/>
  </si>
  <si>
    <t>Δq</t>
    <phoneticPr fontId="21" type="noConversion"/>
  </si>
  <si>
    <r>
      <t>: 기초에 작용하는 순하중(kN/m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</si>
  <si>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>Δz</t>
    <phoneticPr fontId="21" type="noConversion"/>
  </si>
  <si>
    <t>: 각 토층의 두께(m)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</si>
  <si>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</t>
    </r>
    <phoneticPr fontId="21" type="noConversion"/>
  </si>
  <si>
    <t>: 변형영향계수</t>
    <phoneticPr fontId="21" type="noConversion"/>
  </si>
  <si>
    <r>
      <t>E</t>
    </r>
    <r>
      <rPr>
        <vertAlign val="subscript"/>
        <sz val="9"/>
        <color indexed="8"/>
        <rFont val="맑은 고딕"/>
        <family val="3"/>
        <charset val="129"/>
      </rPr>
      <t>s</t>
    </r>
    <phoneticPr fontId="21" type="noConversion"/>
  </si>
  <si>
    <r>
      <t>: 탄성계수(kN/m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</si>
  <si>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 xml:space="preserve"> 2) 탄성이론에 의한 침하량 산정 (구조물기초 설계기준해설 2009, p247)</t>
    <phoneticPr fontId="26" type="noConversion"/>
  </si>
  <si>
    <r>
      <t>q ∙ B ∙ (1 - ν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 / E ∙ I</t>
    </r>
    <r>
      <rPr>
        <vertAlign val="subscript"/>
        <sz val="9"/>
        <rFont val="맑은 고딕"/>
        <family val="3"/>
        <charset val="129"/>
      </rPr>
      <t>s</t>
    </r>
    <phoneticPr fontId="21" type="noConversion"/>
  </si>
  <si>
    <t>× (</t>
    <phoneticPr fontId="21" type="noConversion"/>
  </si>
  <si>
    <t>1 -</t>
    <phoneticPr fontId="21" type="noConversion"/>
  </si>
  <si>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 /</t>
    </r>
    <phoneticPr fontId="21" type="noConversion"/>
  </si>
  <si>
    <t>(mm)</t>
    <phoneticPr fontId="21" type="noConversion"/>
  </si>
  <si>
    <r>
      <t>: 작용하중(kN/m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</t>
    </r>
    <phoneticPr fontId="26" type="noConversion"/>
  </si>
  <si>
    <t>B</t>
    <phoneticPr fontId="26" type="noConversion"/>
  </si>
  <si>
    <t>: 기초 폭(m)</t>
    <phoneticPr fontId="26" type="noConversion"/>
  </si>
  <si>
    <t>ν</t>
    <phoneticPr fontId="26" type="noConversion"/>
  </si>
  <si>
    <t>: 기초지반의 포아송비</t>
    <phoneticPr fontId="26" type="noConversion"/>
  </si>
  <si>
    <t>E</t>
    <phoneticPr fontId="26" type="noConversion"/>
  </si>
  <si>
    <t>: 지반의 탄성계수(kPa)</t>
    <phoneticPr fontId="26" type="noConversion"/>
  </si>
  <si>
    <r>
      <t>I</t>
    </r>
    <r>
      <rPr>
        <vertAlign val="subscript"/>
        <sz val="9"/>
        <rFont val="맑은 고딕"/>
        <family val="3"/>
        <charset val="129"/>
      </rPr>
      <t>s</t>
    </r>
    <r>
      <rPr>
        <sz val="9"/>
        <rFont val="맑은 고딕"/>
        <family val="3"/>
        <charset val="129"/>
      </rPr>
      <t xml:space="preserve"> </t>
    </r>
    <phoneticPr fontId="26" type="noConversion"/>
  </si>
  <si>
    <t>: 탄성침하 영향계수</t>
    <phoneticPr fontId="26" type="noConversion"/>
  </si>
  <si>
    <t>■</t>
    <phoneticPr fontId="21" type="noConversion"/>
  </si>
  <si>
    <r>
      <t>탄성침하 영향계수 I</t>
    </r>
    <r>
      <rPr>
        <vertAlign val="subscript"/>
        <sz val="9"/>
        <color indexed="8"/>
        <rFont val="맑은 고딕"/>
        <family val="3"/>
        <charset val="129"/>
      </rPr>
      <t>s</t>
    </r>
    <phoneticPr fontId="21" type="noConversion"/>
  </si>
  <si>
    <t>구  분</t>
  </si>
  <si>
    <t>강성
기초</t>
    <phoneticPr fontId="21" type="noConversion"/>
  </si>
  <si>
    <t>연 성 기 초</t>
  </si>
  <si>
    <t>중심점</t>
  </si>
  <si>
    <t>외변중점</t>
    <phoneticPr fontId="21" type="noConversion"/>
  </si>
  <si>
    <t>모서리</t>
    <phoneticPr fontId="21" type="noConversion"/>
  </si>
  <si>
    <t>평균</t>
  </si>
  <si>
    <t>원형기초</t>
  </si>
  <si>
    <t>-</t>
  </si>
  <si>
    <t>정방형기초</t>
  </si>
  <si>
    <t>구형
기초</t>
    <phoneticPr fontId="21" type="noConversion"/>
  </si>
  <si>
    <t>L/B=2</t>
  </si>
  <si>
    <t>L/B=5</t>
  </si>
  <si>
    <t>L/B=10</t>
  </si>
  <si>
    <t>※ 연성기초의 중심점의 영향치는 모서리점의 영향치의 2배임. 즉, 중심점의 침하량은 모서리점의 2배임</t>
    <phoneticPr fontId="21" type="noConversion"/>
  </si>
  <si>
    <t>m≥10</t>
  </si>
  <si>
    <t>변형계수산출평균</t>
    <phoneticPr fontId="5" type="noConversion"/>
  </si>
  <si>
    <t>(단위 : mm)</t>
    <phoneticPr fontId="26" type="noConversion"/>
  </si>
  <si>
    <t>Schmertmann</t>
    <phoneticPr fontId="21" type="noConversion"/>
  </si>
  <si>
    <t>탄성이론</t>
    <phoneticPr fontId="21" type="noConversion"/>
  </si>
  <si>
    <t>적용</t>
    <phoneticPr fontId="21" type="noConversion"/>
  </si>
  <si>
    <t>허용침하량</t>
    <phoneticPr fontId="21" type="noConversion"/>
  </si>
  <si>
    <t>∴ 직접기초의 연직침하량 산정</t>
    <phoneticPr fontId="26" type="noConversion"/>
  </si>
  <si>
    <t>☞  기초하중에 의하여 침하가 발생하는 최대영향심도 산정</t>
    <phoneticPr fontId="21" type="noConversion"/>
  </si>
  <si>
    <r>
      <t>z</t>
    </r>
    <r>
      <rPr>
        <vertAlign val="subscript"/>
        <sz val="9"/>
        <color indexed="8"/>
        <rFont val="맑은 고딕"/>
        <family val="3"/>
        <charset val="129"/>
      </rPr>
      <t>f0</t>
    </r>
    <phoneticPr fontId="21" type="noConversion"/>
  </si>
  <si>
    <t>2B, L/B = 1일 경우</t>
    <phoneticPr fontId="21" type="noConversion"/>
  </si>
  <si>
    <t>4B, L/B = 10일 경우</t>
    <phoneticPr fontId="21" type="noConversion"/>
  </si>
  <si>
    <t>{2 + 0.222(L/B - 1)} ∙ B ,   1 &lt; L/B &lt; 10일 경우</t>
    <phoneticPr fontId="21" type="noConversion"/>
  </si>
  <si>
    <t>기초바닥에서의 영향계수,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</si>
  <si>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zo</t>
    </r>
    <phoneticPr fontId="21" type="noConversion"/>
  </si>
  <si>
    <t>0.1 + 0.0111(L/B - 1)</t>
    <phoneticPr fontId="21" type="noConversion"/>
  </si>
  <si>
    <t>최대 변형영향계수 심도,</t>
    <phoneticPr fontId="21" type="noConversion"/>
  </si>
  <si>
    <r>
      <t>z</t>
    </r>
    <r>
      <rPr>
        <vertAlign val="subscript"/>
        <sz val="9"/>
        <color indexed="8"/>
        <rFont val="맑은 고딕"/>
        <family val="3"/>
        <charset val="129"/>
      </rPr>
      <t>fp</t>
    </r>
    <phoneticPr fontId="21" type="noConversion"/>
  </si>
  <si>
    <t>0.5 + 0.0555(L/B - 1)</t>
    <phoneticPr fontId="21" type="noConversion"/>
  </si>
  <si>
    <t>최대 변형영향계수 값,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</si>
  <si>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zp</t>
    </r>
    <r>
      <rPr>
        <sz val="9"/>
        <color indexed="8"/>
        <rFont val="맑은 고딕"/>
        <family val="3"/>
        <charset val="129"/>
      </rPr>
      <t/>
    </r>
    <phoneticPr fontId="21" type="noConversion"/>
  </si>
  <si>
    <r>
      <t>0.5 + 0.1√(Δq/σ</t>
    </r>
    <r>
      <rPr>
        <vertAlign val="subscript"/>
        <sz val="9"/>
        <color indexed="8"/>
        <rFont val="맑은 고딕"/>
        <family val="3"/>
        <charset val="129"/>
      </rPr>
      <t>vp</t>
    </r>
    <r>
      <rPr>
        <sz val="9"/>
        <color indexed="8"/>
        <rFont val="맑은 고딕"/>
        <family val="3"/>
        <charset val="129"/>
      </rPr>
      <t>′)</t>
    </r>
    <phoneticPr fontId="21" type="noConversion"/>
  </si>
  <si>
    <t xml:space="preserve"> 3) 경험에 의한 지지력 공식 (구조물기초 설계기준 해설 2009, p216)</t>
    <phoneticPr fontId="26" type="noConversion"/>
  </si>
  <si>
    <t>경험적 방법에 의한 지지력 산정은 "표 2. 확대기초의 지지력 경험치"를 이용하였다.</t>
    <phoneticPr fontId="21" type="noConversion"/>
  </si>
  <si>
    <t>표 2. 확대기초의 지지력 경험치(U. S. Navy, 1982)</t>
    <phoneticPr fontId="21" type="noConversion"/>
  </si>
  <si>
    <t>지   지   층</t>
  </si>
  <si>
    <t>현장연경도</t>
  </si>
  <si>
    <r>
      <t>허용지지력(kN/m</t>
    </r>
    <r>
      <rPr>
        <b/>
        <vertAlign val="superscript"/>
        <sz val="9"/>
        <color indexed="8"/>
        <rFont val="맑은 고딕"/>
        <family val="3"/>
        <charset val="129"/>
      </rPr>
      <t>2</t>
    </r>
    <r>
      <rPr>
        <b/>
        <sz val="9"/>
        <color indexed="8"/>
        <rFont val="맑은 고딕"/>
        <family val="3"/>
        <charset val="129"/>
      </rPr>
      <t>)</t>
    </r>
    <phoneticPr fontId="21" type="noConversion"/>
  </si>
  <si>
    <t>범 위</t>
  </si>
  <si>
    <t>추천값</t>
  </si>
  <si>
    <t>입도분포가 양호한 세립토 모래자갈의
혼합물 : 빙하 퇴적물, 하드팬(hardpan),
점성토 섞인 자갈 (GW-GC, SC)</t>
  </si>
  <si>
    <t>매우 조밀</t>
  </si>
  <si>
    <t>~</t>
    <phoneticPr fontId="21" type="noConversion"/>
  </si>
  <si>
    <t>자갈, 자갈 - 모래 혼합물,
호박돌 - 자갈 혼합물 (GW, GP, SW, SP)</t>
  </si>
  <si>
    <t>매우 조밀</t>
    <phoneticPr fontId="21" type="noConversion"/>
  </si>
  <si>
    <t>중간 조밀</t>
    <phoneticPr fontId="21" type="noConversion"/>
  </si>
  <si>
    <t>느 슨</t>
    <phoneticPr fontId="21" type="noConversion"/>
  </si>
  <si>
    <t>입자가 굵거나 중간 정도의 모래,
 자갈이 약간 섞인 모래 (SW, SP)</t>
  </si>
  <si>
    <t>가는 모래, 실트질이나 점토질
 중간정도 입도나 굵은 모래(SW, SM, SC)</t>
  </si>
  <si>
    <t>균질한 점토, 모래질이나 실트질 점토</t>
    <phoneticPr fontId="21" type="noConversion"/>
  </si>
  <si>
    <t>굳 음</t>
    <phoneticPr fontId="21" type="noConversion"/>
  </si>
  <si>
    <t>중간 굳음</t>
    <phoneticPr fontId="21" type="noConversion"/>
  </si>
  <si>
    <t>느슨함</t>
    <phoneticPr fontId="21" type="noConversion"/>
  </si>
  <si>
    <t>실트, 모래질 실트, 점토질 실트,
교호된(varved) 실트-점토-세사층</t>
  </si>
  <si>
    <t>매우 굳음</t>
    <phoneticPr fontId="21" type="noConversion"/>
  </si>
  <si>
    <t>연 함</t>
    <phoneticPr fontId="21" type="noConversion"/>
  </si>
  <si>
    <t>주) 1. 연한 암반이나 사질토 지반에서 기초는 인접 최저 지표고로부터 최소 0.5m 근입되어야 한다.
     2. 상기에서 연한 암반이나 사질토 지반에서는 규정한 최소 근입깊이(0.5m)로부터 근입깊이가 0.3m
        증가할 때마다 공칭 경험값의 5%할증하여 사용한다.</t>
    <phoneticPr fontId="21" type="noConversion"/>
  </si>
  <si>
    <t xml:space="preserve"> ☞</t>
    <phoneticPr fontId="21" type="noConversion"/>
  </si>
  <si>
    <t>지지층 토층종류</t>
    <phoneticPr fontId="21" type="noConversion"/>
  </si>
  <si>
    <t>:</t>
  </si>
  <si>
    <t>지지층 선단N치</t>
    <phoneticPr fontId="21" type="noConversion"/>
  </si>
  <si>
    <t>기본 지지력</t>
    <phoneticPr fontId="21" type="noConversion"/>
  </si>
  <si>
    <t xml:space="preserve">근입깊이 </t>
    <phoneticPr fontId="21" type="noConversion"/>
  </si>
  <si>
    <t>(m)</t>
    <phoneticPr fontId="21" type="noConversion"/>
  </si>
  <si>
    <t>할증을 고려하는 근입깊이</t>
    <phoneticPr fontId="21" type="noConversion"/>
  </si>
  <si>
    <t>지지력 할증치</t>
    <phoneticPr fontId="21" type="noConversion"/>
  </si>
  <si>
    <t>) /</t>
    <phoneticPr fontId="21" type="noConversion"/>
  </si>
  <si>
    <t>할증을 고려한 기초의 허용지지력</t>
    <phoneticPr fontId="21" type="noConversion"/>
  </si>
  <si>
    <t>경험에 의한 지지력</t>
    <phoneticPr fontId="5" type="noConversion"/>
  </si>
  <si>
    <t>페블테크 보강</t>
    <phoneticPr fontId="5" type="noConversion"/>
  </si>
  <si>
    <t xml:space="preserve"> - 페블테크 치환 상단에서 가시설 브레이싱과의 순작업공간은 3.5톤 콤비로라 H=2.3m,10톤 로라 H=3.2m이상을 확보필요</t>
    <phoneticPr fontId="5" type="noConversion"/>
  </si>
  <si>
    <t>㈜ 지반디자인앤솔루션</t>
    <phoneticPr fontId="26" type="noConversion"/>
  </si>
  <si>
    <t xml:space="preserve"> 공   사   명  : </t>
    <phoneticPr fontId="5" type="noConversion"/>
  </si>
  <si>
    <t xml:space="preserve"> 설 계 하 중  : </t>
    <phoneticPr fontId="5" type="noConversion"/>
  </si>
  <si>
    <t xml:space="preserve"> 기준침하량  : </t>
    <phoneticPr fontId="5" type="noConversion"/>
  </si>
  <si>
    <t>25.4 mm</t>
    <phoneticPr fontId="5" type="noConversion"/>
  </si>
  <si>
    <t xml:space="preserve"> 치 환 두 께  :</t>
    <phoneticPr fontId="5" type="noConversion"/>
  </si>
  <si>
    <t xml:space="preserve">   본 검토서는 페블테크 공법에 의한 지반보강 후의 설계하중을 검토하기 위한 목적으로 검토하였으며, </t>
    <phoneticPr fontId="5" type="noConversion"/>
  </si>
  <si>
    <r>
      <t>(다짐이 덜된 혼합된 깬지갈의 일반적인 내부마찰각 Ф=45</t>
    </r>
    <r>
      <rPr>
        <sz val="10"/>
        <color theme="1"/>
        <rFont val="Microsoft YaHei"/>
        <family val="2"/>
        <charset val="134"/>
      </rPr>
      <t>︒</t>
    </r>
    <r>
      <rPr>
        <sz val="10"/>
        <color theme="1"/>
        <rFont val="돋움"/>
        <family val="3"/>
        <charset val="129"/>
      </rPr>
      <t>)</t>
    </r>
    <phoneticPr fontId="5" type="noConversion"/>
  </si>
  <si>
    <r>
      <t>σ * H</t>
    </r>
    <r>
      <rPr>
        <vertAlign val="subscript"/>
        <sz val="10.5"/>
        <rFont val="돋움"/>
        <family val="3"/>
        <charset val="129"/>
      </rPr>
      <t>pt</t>
    </r>
    <phoneticPr fontId="5" type="noConversion"/>
  </si>
  <si>
    <r>
      <t>E</t>
    </r>
    <r>
      <rPr>
        <vertAlign val="subscript"/>
        <sz val="10.5"/>
        <rFont val="돋움"/>
        <family val="3"/>
        <charset val="129"/>
      </rPr>
      <t>a</t>
    </r>
    <phoneticPr fontId="5" type="noConversion"/>
  </si>
  <si>
    <r>
      <rPr>
        <b/>
        <sz val="9"/>
        <color theme="1"/>
        <rFont val="Calibri"/>
        <family val="3"/>
        <charset val="161"/>
      </rPr>
      <t>Φ</t>
    </r>
    <r>
      <rPr>
        <b/>
        <sz val="9"/>
        <color theme="1"/>
        <rFont val="맑은 고딕"/>
        <family val="3"/>
        <charset val="129"/>
      </rPr>
      <t xml:space="preserve"> (</t>
    </r>
    <r>
      <rPr>
        <b/>
        <sz val="9"/>
        <color theme="1"/>
        <rFont val="맑은 고딕"/>
        <family val="3"/>
        <charset val="129"/>
        <scheme val="minor"/>
      </rPr>
      <t>°)</t>
    </r>
    <phoneticPr fontId="5" type="noConversion"/>
  </si>
  <si>
    <t>최소값</t>
    <phoneticPr fontId="5" type="noConversion"/>
  </si>
  <si>
    <t>최대값</t>
    <phoneticPr fontId="5" type="noConversion"/>
  </si>
  <si>
    <t>Df + 0.5B 깊이에서의 N값</t>
    <phoneticPr fontId="5" type="noConversion"/>
  </si>
  <si>
    <t>매트 개수에 따른 값 지정</t>
    <phoneticPr fontId="5" type="noConversion"/>
  </si>
  <si>
    <t>ex) 매트 1개 일경우 1 0 0</t>
    <phoneticPr fontId="5" type="noConversion"/>
  </si>
  <si>
    <t>ex) 매트 3개 일경우 1 2 3</t>
    <phoneticPr fontId="5" type="noConversion"/>
  </si>
  <si>
    <t>ex) 매트 1개 일경우 1 2 0</t>
    <phoneticPr fontId="5" type="noConversion"/>
  </si>
  <si>
    <t>대지위치</t>
    <phoneticPr fontId="5" type="noConversion"/>
  </si>
  <si>
    <t>3.</t>
    <phoneticPr fontId="5" type="noConversion"/>
  </si>
  <si>
    <t>4.</t>
    <phoneticPr fontId="5" type="noConversion"/>
  </si>
  <si>
    <t>적용내용</t>
    <phoneticPr fontId="5" type="noConversion"/>
  </si>
  <si>
    <t>기초하부 지층</t>
    <phoneticPr fontId="5" type="noConversion"/>
  </si>
  <si>
    <t>지반보강</t>
    <phoneticPr fontId="5" type="noConversion"/>
  </si>
  <si>
    <t>5.</t>
    <phoneticPr fontId="5" type="noConversion"/>
  </si>
  <si>
    <t>(1) 기초지반 현황</t>
    <phoneticPr fontId="5" type="noConversion"/>
  </si>
  <si>
    <t>지반조사 지층단면</t>
    <phoneticPr fontId="5" type="noConversion"/>
  </si>
  <si>
    <t>(2) 원지반 기초 안정성</t>
    <phoneticPr fontId="5" type="noConversion"/>
  </si>
  <si>
    <t xml:space="preserve">   판단됨</t>
    <phoneticPr fontId="5" type="noConversion"/>
  </si>
  <si>
    <t>(3) 페블테크 공법 적용시 기초 안정성</t>
    <phoneticPr fontId="5" type="noConversion"/>
  </si>
  <si>
    <t xml:space="preserve">   대한 기초 안정성은 충분히 만족함</t>
    <phoneticPr fontId="5" type="noConversion"/>
  </si>
  <si>
    <t xml:space="preserve">   메커니즘은 침하량을 효과적으로 감소 시킬수 있음</t>
    <phoneticPr fontId="5" type="noConversion"/>
  </si>
  <si>
    <t>* 기초 하부 지반을 고려하여 페블테크 지반 보강시 기초 안정성을 확인함.</t>
    <phoneticPr fontId="5" type="noConversion"/>
  </si>
  <si>
    <t>BH-1 EL</t>
    <phoneticPr fontId="5" type="noConversion"/>
  </si>
  <si>
    <t>GL 0</t>
    <phoneticPr fontId="5" type="noConversion"/>
  </si>
  <si>
    <t>기초저면레벨</t>
    <phoneticPr fontId="5" type="noConversion"/>
  </si>
  <si>
    <t>주상도상의 근입깊이</t>
    <phoneticPr fontId="5" type="noConversion"/>
  </si>
  <si>
    <t>주상도상의 EL</t>
    <phoneticPr fontId="5" type="noConversion"/>
  </si>
  <si>
    <r>
      <t>보강전 원지반의 허용지지력
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</si>
  <si>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t>+ 1.0</t>
    <phoneticPr fontId="5" type="noConversion"/>
  </si>
  <si>
    <t>O</t>
    <phoneticPr fontId="5" type="noConversion"/>
  </si>
  <si>
    <t>정토, 성토 등에 의해 근입깊이를 수정함</t>
    <phoneticPr fontId="5" type="noConversion"/>
  </si>
  <si>
    <r>
      <t>근입깊이(D</t>
    </r>
    <r>
      <rPr>
        <vertAlign val="subscript"/>
        <sz val="11"/>
        <color theme="1"/>
        <rFont val="돋움"/>
        <family val="3"/>
        <charset val="129"/>
      </rPr>
      <t>f</t>
    </r>
    <r>
      <rPr>
        <sz val="11"/>
        <color theme="1"/>
        <rFont val="돋움"/>
        <family val="3"/>
        <charset val="129"/>
      </rPr>
      <t>) =</t>
    </r>
    <phoneticPr fontId="5" type="noConversion"/>
  </si>
  <si>
    <r>
      <t>수정근입깊이(D</t>
    </r>
    <r>
      <rPr>
        <vertAlign val="subscript"/>
        <sz val="11"/>
        <color theme="1"/>
        <rFont val="돋움"/>
        <family val="3"/>
        <charset val="129"/>
      </rPr>
      <t>f</t>
    </r>
    <r>
      <rPr>
        <sz val="11"/>
        <color theme="1"/>
        <rFont val="돋움"/>
        <family val="3"/>
        <charset val="129"/>
      </rPr>
      <t>') =</t>
    </r>
    <phoneticPr fontId="5" type="noConversion"/>
  </si>
  <si>
    <t>절토, 성토, 마감레벨</t>
    <phoneticPr fontId="5" type="noConversion"/>
  </si>
  <si>
    <t>수정근입깊이(Df')</t>
    <phoneticPr fontId="5" type="noConversion"/>
  </si>
  <si>
    <t>페블테크 하부지반의 작용하중(페블테크 두께에 따른 하중 감소)</t>
    <phoneticPr fontId="5" type="noConversion"/>
  </si>
  <si>
    <t>페블테크하부 작용하중</t>
    <phoneticPr fontId="21" type="noConversion"/>
  </si>
  <si>
    <t>페블테크하부 작용하중</t>
    <phoneticPr fontId="26" type="noConversion"/>
  </si>
  <si>
    <t>허    용    지    지    력</t>
    <phoneticPr fontId="26" type="noConversion"/>
  </si>
  <si>
    <t>판                     정</t>
    <phoneticPr fontId="26" type="noConversion"/>
  </si>
  <si>
    <t>흙의 자중 계산용</t>
    <phoneticPr fontId="5" type="noConversion"/>
  </si>
  <si>
    <t>보강후 하부지반의 작용하중   (kN/m2)</t>
    <phoneticPr fontId="5" type="noConversion"/>
  </si>
  <si>
    <t>페블테크
하부작용하중(Kpa)</t>
    <phoneticPr fontId="5" type="noConversion"/>
  </si>
  <si>
    <t>기초안정성확인내용</t>
    <phoneticPr fontId="5" type="noConversion"/>
  </si>
  <si>
    <t xml:space="preserve"> - 페블테크 시공을 위한 터파기는 원도급사분</t>
    <phoneticPr fontId="5" type="noConversion"/>
  </si>
  <si>
    <t>1. 구조도면 또는 구조안전확인서를 보고 지내력기초 000kN/m2을 확인하여 설계하중을 기입한다.</t>
    <phoneticPr fontId="5" type="noConversion"/>
  </si>
  <si>
    <t>2. 주상도를 보고 토층의 종류와 두께 분류기호 N값을 기입한다</t>
    <phoneticPr fontId="5" type="noConversion"/>
  </si>
  <si>
    <t>3. 주상도의 적당한 위치와 약한 구간을 골라 주상도를 선택하고 지하수위를 기입한다</t>
    <phoneticPr fontId="5" type="noConversion"/>
  </si>
  <si>
    <t xml:space="preserve">주상도의 현황레벨과 마감레벨이 다를 경우 절토 도는 성토해야하는데 </t>
    <phoneticPr fontId="5" type="noConversion"/>
  </si>
  <si>
    <t>그럴 경우 주상도상의 근입깊이와 마감후의 근입깊이가 다름</t>
    <phoneticPr fontId="5" type="noConversion"/>
  </si>
  <si>
    <t>기초두께는 마감레벨에서의 근입깊이임</t>
    <phoneticPr fontId="5" type="noConversion"/>
  </si>
  <si>
    <t>지지력 및 침하량계산시 q1의 산출량을 계산하기 위해 Df'을 별도로 계산해야 함</t>
    <phoneticPr fontId="5" type="noConversion"/>
  </si>
  <si>
    <t>기초깊이</t>
    <phoneticPr fontId="5" type="noConversion"/>
  </si>
  <si>
    <t>GL 0기준 깊이</t>
    <phoneticPr fontId="5" type="noConversion"/>
  </si>
  <si>
    <t>기초형상이 줄기초이고 B/L = 6이상일 경우 하중감소계산식이 다르게 적용되며 수식에 들어가 있음</t>
    <phoneticPr fontId="5" type="noConversion"/>
  </si>
  <si>
    <t>점착력이 없을경우 2.2로 계산</t>
    <phoneticPr fontId="5" type="noConversion"/>
  </si>
  <si>
    <t>기초폭이 2m미만일 경우 과대값이 산출되므로 10으로 나눔. 계산식에 반영되어 있음</t>
    <phoneticPr fontId="5" type="noConversion"/>
  </si>
  <si>
    <t>전북 전주시 완산구 상림동 596 다세대주택 신축공사</t>
    <phoneticPr fontId="5" type="noConversion"/>
  </si>
  <si>
    <t>THK 500</t>
    <phoneticPr fontId="5" type="noConversion"/>
  </si>
  <si>
    <t>지상4층</t>
    <phoneticPr fontId="5" type="noConversion"/>
  </si>
  <si>
    <t>SC</t>
    <phoneticPr fontId="5" type="noConversion"/>
  </si>
  <si>
    <t>50/7</t>
    <phoneticPr fontId="5" type="noConversion"/>
  </si>
  <si>
    <t>50/2</t>
    <phoneticPr fontId="5" type="noConversion"/>
  </si>
  <si>
    <t>SM</t>
    <phoneticPr fontId="5" type="noConversion"/>
  </si>
  <si>
    <t>실트질 모래</t>
    <phoneticPr fontId="5" type="noConversion"/>
  </si>
  <si>
    <t>4/30</t>
    <phoneticPr fontId="5" type="noConversion"/>
  </si>
  <si>
    <t>8/30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</si>
</sst>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7">
    <numFmt numFmtId="41" formatCode="_-* #,##0_-;\-* #,##0_-;_-* &quot;-&quot;_-;_-@_-"/>
    <numFmt numFmtId="176" formatCode="0.0"/>
    <numFmt numFmtId="177" formatCode="0.0_);[Red]\(0.0\)"/>
    <numFmt numFmtId="178" formatCode="0.000_ "/>
    <numFmt numFmtId="179" formatCode="0.0000000_ "/>
    <numFmt numFmtId="180" formatCode="0.000"/>
    <numFmt numFmtId="181" formatCode="0.0_ "/>
    <numFmt numFmtId="182" formatCode="0.00\ &quot;m&quot;"/>
    <numFmt numFmtId="183" formatCode="0.000000_ "/>
    <numFmt numFmtId="184" formatCode="0.0&quot; ~&quot;"/>
    <numFmt numFmtId="185" formatCode="#,##0.000"/>
    <numFmt numFmtId="186" formatCode="#,##0_ "/>
    <numFmt numFmtId="187" formatCode="#,##0.00&quot;%&quot;"/>
    <numFmt numFmtId="188" formatCode="0&quot; m&quot;"/>
    <numFmt numFmtId="189" formatCode="0.0&quot; m&quot;"/>
    <numFmt numFmtId="190" formatCode="#,##0.00&quot;m2 50%적용&quot;"/>
    <numFmt numFmtId="191" formatCode="#,##0.0"/>
    <numFmt numFmtId="192" formatCode="0.0000"/>
    <numFmt numFmtId="193" formatCode="0.0&quot;~&quot;"/>
    <numFmt numFmtId="194" formatCode="0.00_ "/>
    <numFmt numFmtId="195" formatCode="#,##0.0000"/>
    <numFmt numFmtId="196" formatCode="0.00&quot; kN/m2&quot;"/>
    <numFmt numFmtId="197" formatCode="#,##0.0_ "/>
    <numFmt numFmtId="198" formatCode="0.0000000"/>
    <numFmt numFmtId="199" formatCode="0.00000000"/>
    <numFmt numFmtId="200" formatCode="&quot;L/B=&quot;0.00_ "/>
    <numFmt numFmtId="201" formatCode="0.00_);[Red]\(0.00\)"/>
    <numFmt numFmtId="202" formatCode="0.0&quot;B&quot;"/>
    <numFmt numFmtId="203" formatCode="0.000_);[Red]\(0.000\)"/>
    <numFmt numFmtId="204" formatCode="0.00&quot;B&quot;"/>
    <numFmt numFmtId="205" formatCode="0.000000"/>
    <numFmt numFmtId="206" formatCode="#,##0.00_ "/>
    <numFmt numFmtId="207" formatCode="0.00&quot; mm&quot;"/>
    <numFmt numFmtId="208" formatCode="#,##0.000000_ "/>
    <numFmt numFmtId="209" formatCode="0.00000000_ "/>
    <numFmt numFmtId="210" formatCode="0.00\ &quot;mm&quot;"/>
    <numFmt numFmtId="211" formatCode="0.00000_);[Red]\(0.00000\)"/>
    <numFmt numFmtId="212" formatCode="#,##0_);[Red]\(#,##0\)"/>
    <numFmt numFmtId="213" formatCode="#,##0.0_);[Red]\(#,##0.0\)"/>
    <numFmt numFmtId="214" formatCode="0.00&quot; ~&quot;"/>
    <numFmt numFmtId="215" formatCode="&quot;검토일 : &quot;yyyy&quot;년&quot;\ m&quot;월&quot;\ d&quot;일&quot;;@"/>
    <numFmt numFmtId="216" formatCode="#,##0&quot;kN/㎡&quot;"/>
    <numFmt numFmtId="217" formatCode="mm&quot;월&quot;\ dd&quot;일&quot;"/>
    <numFmt numFmtId="218" formatCode="0&quot;단&quot;"/>
    <numFmt numFmtId="219" formatCode="&quot;&quot;\ &quot;000-000 &quot;\ &quot;&quot;"/>
    <numFmt numFmtId="220" formatCode="0_ "/>
    <numFmt numFmtId="221" formatCode="#,##0.00_);[Red]\(#,##0.00\)"/>
    <numFmt numFmtId="222" formatCode="0.0&quot; kN/m2&quot;"/>
    <numFmt numFmtId="223" formatCode="0&quot;/30&quot;"/>
    <numFmt numFmtId="224" formatCode="_-* #,##0.0_-;\-* #,##0.0_-;_-* &quot;-&quot;_-;_-@_-"/>
    <numFmt numFmtId="225" formatCode="&quot;( &quot;#,##0.00"/>
    <numFmt numFmtId="226" formatCode="0.00&quot; )&quot;"/>
    <numFmt numFmtId="227" formatCode="0&quot; kN/m2&quot;"/>
    <numFmt numFmtId="228" formatCode="#,##0.0&quot;KN/㎡&quot;"/>
    <numFmt numFmtId="229" formatCode="0.0%"/>
    <numFmt numFmtId="230" formatCode="#,##0.000_);[Red]\(#,##0.000\)"/>
    <numFmt numFmtId="231" formatCode="#,##0.0000000_);[Red]\(#,##0.0000000\)"/>
    <numFmt numFmtId="232" formatCode="#,##0.000_ "/>
    <numFmt numFmtId="233" formatCode="0.0&quot; / 2  )&quot;"/>
    <numFmt numFmtId="234" formatCode="&quot;(&quot;\ #"/>
    <numFmt numFmtId="235" formatCode="#\+"/>
    <numFmt numFmtId="236" formatCode="&quot;/ &quot;#,###.#&quot; )&quot;"/>
    <numFmt numFmtId="237" formatCode="_-* #,##0.00_-;\-* #,##0.00_-;_-* &quot;-&quot;_-;_-@_-"/>
    <numFmt numFmtId="238" formatCode="#,##0.0000000_ "/>
    <numFmt numFmtId="239" formatCode="0.00&quot;kN/m2&quot;"/>
    <numFmt numFmtId="240" formatCode="0.000000&quot;  )  X&quot;"/>
    <numFmt numFmtId="241" formatCode="0&quot;  N&quot;"/>
  </numFmts>
  <fonts count="26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b/>
      <sz val="18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5"/>
      <name val="돋움"/>
      <family val="3"/>
      <charset val="129"/>
    </font>
    <font>
      <b/>
      <sz val="9"/>
      <color theme="1"/>
      <name val="한양신명조"/>
      <family val="3"/>
      <charset val="129"/>
    </font>
    <font>
      <b/>
      <sz val="9"/>
      <color theme="1"/>
      <name val="새굴림"/>
      <family val="3"/>
      <charset val="129"/>
    </font>
    <font>
      <sz val="9.5"/>
      <name val="가는각진제목체"/>
      <family val="1"/>
      <charset val="129"/>
    </font>
    <font>
      <b/>
      <sz val="9.5"/>
      <color indexed="10"/>
      <name val="가는각진제목체"/>
      <family val="1"/>
      <charset val="129"/>
    </font>
    <font>
      <b/>
      <sz val="9"/>
      <color indexed="44"/>
      <name val="돋움"/>
      <family val="3"/>
      <charset val="129"/>
    </font>
    <font>
      <sz val="9"/>
      <name val="가는각진제목체"/>
      <family val="1"/>
      <charset val="129"/>
    </font>
    <font>
      <sz val="8"/>
      <name val="가는각진제목체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vertAlign val="subscript"/>
      <sz val="9.5"/>
      <name val="가는각진제목체"/>
      <family val="1"/>
      <charset val="129"/>
    </font>
    <font>
      <sz val="8"/>
      <name val="돋움체"/>
      <family val="3"/>
      <charset val="129"/>
    </font>
    <font>
      <sz val="8"/>
      <name val="돋움"/>
      <family val="3"/>
      <charset val="129"/>
    </font>
    <font>
      <b/>
      <sz val="9"/>
      <name val="가는각진제목체"/>
      <family val="1"/>
      <charset val="129"/>
    </font>
    <font>
      <b/>
      <sz val="9"/>
      <color indexed="10"/>
      <name val="가는각진제목체"/>
      <family val="1"/>
      <charset val="129"/>
    </font>
    <font>
      <sz val="9"/>
      <color theme="1"/>
      <name val="한양신명조"/>
      <family val="3"/>
      <charset val="129"/>
    </font>
    <font>
      <sz val="9"/>
      <color theme="1"/>
      <name val="맑은 고딕"/>
      <family val="3"/>
      <charset val="129"/>
      <scheme val="minor"/>
    </font>
    <font>
      <vertAlign val="superscript"/>
      <sz val="9.5"/>
      <name val="가는각진제목체"/>
      <family val="1"/>
      <charset val="129"/>
    </font>
    <font>
      <sz val="9.5"/>
      <name val="새굴림"/>
      <family val="1"/>
      <charset val="129"/>
    </font>
    <font>
      <sz val="8"/>
      <color indexed="8"/>
      <name val="가는각진제목체"/>
      <family val="1"/>
      <charset val="129"/>
    </font>
    <font>
      <sz val="8"/>
      <name val="맑은 고딕"/>
      <family val="1"/>
      <charset val="129"/>
    </font>
    <font>
      <sz val="8"/>
      <color indexed="10"/>
      <name val="가는각진제목체"/>
      <family val="1"/>
      <charset val="129"/>
    </font>
    <font>
      <b/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indexed="10"/>
      <name val="가는각진제목체"/>
      <family val="1"/>
      <charset val="129"/>
    </font>
    <font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9"/>
      <color theme="0"/>
      <name val="돋움"/>
      <family val="3"/>
      <charset val="129"/>
    </font>
    <font>
      <sz val="7"/>
      <color theme="0"/>
      <name val="돋움"/>
      <family val="3"/>
      <charset val="129"/>
    </font>
    <font>
      <sz val="8"/>
      <name val="새굴림"/>
      <family val="1"/>
      <charset val="129"/>
    </font>
    <font>
      <b/>
      <sz val="8"/>
      <name val="가는각진제목체"/>
      <family val="1"/>
      <charset val="129"/>
    </font>
    <font>
      <b/>
      <sz val="10"/>
      <color rgb="FFFF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  <charset val="204"/>
    </font>
    <font>
      <sz val="11"/>
      <color theme="1"/>
      <name val="맑은 고딕"/>
      <family val="3"/>
      <charset val="204"/>
      <scheme val="minor"/>
    </font>
    <font>
      <sz val="11"/>
      <color theme="1"/>
      <name val="Calibri"/>
      <family val="3"/>
      <charset val="204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color rgb="FFC00000"/>
      <name val="돋움"/>
      <family val="3"/>
      <charset val="129"/>
    </font>
    <font>
      <b/>
      <sz val="10"/>
      <color theme="1"/>
      <name val="한양신명조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고딕"/>
      <family val="3"/>
      <charset val="129"/>
    </font>
    <font>
      <sz val="11"/>
      <color theme="1"/>
      <name val="맑은고딕"/>
      <family val="3"/>
      <charset val="129"/>
    </font>
    <font>
      <sz val="9"/>
      <color theme="1"/>
      <name val="맑은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vertAlign val="subscript"/>
      <sz val="11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7"/>
      <color theme="1"/>
      <name val="돋움"/>
      <family val="3"/>
      <charset val="129"/>
    </font>
    <font>
      <sz val="14"/>
      <name val="돋움"/>
      <family val="3"/>
      <charset val="129"/>
    </font>
    <font>
      <sz val="10"/>
      <color rgb="FFFF0000"/>
      <name val="돋움"/>
      <family val="3"/>
      <charset val="129"/>
    </font>
    <font>
      <vertAlign val="subscript"/>
      <sz val="11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1"/>
      <color theme="1"/>
      <name val="한양신명조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C00000"/>
      <name val="돋움"/>
      <family val="3"/>
      <charset val="129"/>
    </font>
    <font>
      <sz val="9"/>
      <color rgb="FFC00000"/>
      <name val="돋움"/>
      <family val="3"/>
      <charset val="129"/>
    </font>
    <font>
      <sz val="12"/>
      <color rgb="FFC00000"/>
      <name val="돋움"/>
      <family val="3"/>
      <charset val="129"/>
    </font>
    <font>
      <b/>
      <vertAlign val="subscript"/>
      <sz val="11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1"/>
      <color rgb="FF0070C0"/>
      <name val="돋움"/>
      <family val="3"/>
      <charset val="129"/>
    </font>
    <font>
      <b/>
      <vertAlign val="superscript"/>
      <sz val="11"/>
      <color rgb="FFFF0000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sz val="9.5"/>
      <color rgb="FFC00000"/>
      <name val="돋움"/>
      <family val="1"/>
      <charset val="129"/>
    </font>
    <font>
      <b/>
      <sz val="14"/>
      <name val="돋움"/>
      <family val="3"/>
      <charset val="129"/>
    </font>
    <font>
      <sz val="9.5"/>
      <color rgb="FFC00000"/>
      <name val="가는각진제목체"/>
      <family val="1"/>
      <charset val="129"/>
    </font>
    <font>
      <b/>
      <sz val="12"/>
      <name val="돋움"/>
      <family val="3"/>
      <charset val="129"/>
    </font>
    <font>
      <b/>
      <vertAlign val="subscript"/>
      <sz val="11"/>
      <name val="돋움"/>
      <family val="3"/>
      <charset val="129"/>
    </font>
    <font>
      <sz val="8"/>
      <color theme="1"/>
      <name val="가는각진제목체"/>
      <family val="1"/>
      <charset val="129"/>
    </font>
    <font>
      <sz val="8"/>
      <name val="돋움"/>
      <family val="1"/>
      <charset val="129"/>
    </font>
    <font>
      <sz val="9"/>
      <name val="돋움"/>
      <family val="1"/>
      <charset val="129"/>
    </font>
    <font>
      <sz val="9"/>
      <name val="새굴림"/>
      <family val="1"/>
      <charset val="129"/>
    </font>
    <font>
      <vertAlign val="subscript"/>
      <sz val="8"/>
      <name val="돋움"/>
      <family val="3"/>
      <charset val="129"/>
    </font>
    <font>
      <vertAlign val="subscript"/>
      <sz val="8"/>
      <name val="가는각진제목체"/>
      <family val="1"/>
      <charset val="129"/>
    </font>
    <font>
      <sz val="8"/>
      <name val="Calibri"/>
      <family val="1"/>
      <charset val="161"/>
    </font>
    <font>
      <sz val="10"/>
      <name val="가는각진제목체"/>
      <family val="1"/>
      <charset val="129"/>
    </font>
    <font>
      <sz val="8"/>
      <name val="Arial"/>
      <family val="2"/>
    </font>
    <font>
      <sz val="9"/>
      <name val="Arial"/>
      <family val="2"/>
    </font>
    <font>
      <sz val="9"/>
      <name val="돋움체"/>
      <family val="3"/>
      <charset val="129"/>
    </font>
    <font>
      <vertAlign val="superscript"/>
      <sz val="11"/>
      <name val="돋움"/>
      <family val="3"/>
      <charset val="129"/>
    </font>
    <font>
      <sz val="9"/>
      <name val="새굴림"/>
      <family val="2"/>
      <charset val="129"/>
    </font>
    <font>
      <b/>
      <sz val="12"/>
      <color rgb="FFFF0000"/>
      <name val="돋움"/>
      <family val="3"/>
      <charset val="129"/>
    </font>
    <font>
      <sz val="12"/>
      <name val="돋움"/>
      <family val="3"/>
      <charset val="129"/>
    </font>
    <font>
      <b/>
      <sz val="12"/>
      <color rgb="FF0000FF"/>
      <name val="돋움"/>
      <family val="3"/>
      <charset val="129"/>
    </font>
    <font>
      <vertAlign val="subscript"/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vertAlign val="superscript"/>
      <sz val="8"/>
      <name val="돋움"/>
      <family val="3"/>
      <charset val="129"/>
    </font>
    <font>
      <sz val="8.5"/>
      <name val="돋움체"/>
      <family val="3"/>
      <charset val="129"/>
    </font>
    <font>
      <b/>
      <vertAlign val="superscript"/>
      <sz val="11"/>
      <name val="돋움"/>
      <family val="3"/>
      <charset val="129"/>
    </font>
    <font>
      <sz val="11"/>
      <name val="새굴림"/>
      <family val="2"/>
      <charset val="129"/>
    </font>
    <font>
      <sz val="11"/>
      <name val="Arial"/>
      <family val="2"/>
    </font>
    <font>
      <vertAlign val="subscript"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새굴림"/>
      <family val="1"/>
      <charset val="129"/>
    </font>
    <font>
      <sz val="9"/>
      <color indexed="12"/>
      <name val="Arial"/>
      <family val="2"/>
    </font>
    <font>
      <b/>
      <sz val="10"/>
      <name val="Segoe UI Symbol"/>
      <family val="2"/>
    </font>
    <font>
      <b/>
      <sz val="10"/>
      <name val="새굴림"/>
      <family val="2"/>
      <charset val="129"/>
    </font>
    <font>
      <b/>
      <sz val="10"/>
      <name val="새굴림"/>
      <family val="1"/>
      <charset val="129"/>
    </font>
    <font>
      <b/>
      <vertAlign val="superscript"/>
      <sz val="10"/>
      <name val="새굴림"/>
      <family val="1"/>
      <charset val="129"/>
    </font>
    <font>
      <b/>
      <sz val="9"/>
      <name val="새굴림"/>
      <family val="1"/>
      <charset val="129"/>
    </font>
    <font>
      <b/>
      <vertAlign val="superscript"/>
      <sz val="9"/>
      <name val="새굴림"/>
      <family val="1"/>
      <charset val="129"/>
    </font>
    <font>
      <sz val="8"/>
      <color theme="1"/>
      <name val="맑은 고딕"/>
      <family val="3"/>
      <charset val="129"/>
      <scheme val="major"/>
    </font>
    <font>
      <sz val="20"/>
      <name val="돋움"/>
      <family val="3"/>
      <charset val="129"/>
    </font>
    <font>
      <sz val="25"/>
      <name val="HY견고딕"/>
      <family val="1"/>
      <charset val="129"/>
    </font>
    <font>
      <sz val="25"/>
      <name val="돋움"/>
      <family val="3"/>
      <charset val="129"/>
    </font>
    <font>
      <sz val="14"/>
      <name val="HY견고딕"/>
      <family val="1"/>
      <charset val="129"/>
    </font>
    <font>
      <sz val="16"/>
      <name val="HY견고딕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20"/>
      <name val="HY견고딕"/>
      <family val="1"/>
      <charset val="129"/>
    </font>
    <font>
      <sz val="13"/>
      <name val="돋움"/>
      <family val="3"/>
      <charset val="129"/>
    </font>
    <font>
      <sz val="15"/>
      <name val="HY견고딕"/>
      <family val="1"/>
      <charset val="129"/>
    </font>
    <font>
      <sz val="11"/>
      <name val="HY견고딕"/>
      <family val="1"/>
      <charset val="129"/>
    </font>
    <font>
      <b/>
      <sz val="15"/>
      <name val="HY견고딕"/>
      <family val="1"/>
      <charset val="129"/>
    </font>
    <font>
      <sz val="11"/>
      <color theme="1"/>
      <name val="HY견고딕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vertAlign val="superscript"/>
      <sz val="10"/>
      <name val="돋움"/>
      <family val="3"/>
      <charset val="129"/>
    </font>
    <font>
      <b/>
      <sz val="12"/>
      <name val="굴림"/>
      <family val="3"/>
      <charset val="129"/>
    </font>
    <font>
      <sz val="10"/>
      <color rgb="FF0000FF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vertAlign val="subscript"/>
      <sz val="10"/>
      <name val="돋움"/>
      <family val="3"/>
      <charset val="129"/>
    </font>
    <font>
      <b/>
      <sz val="8"/>
      <name val="돋움"/>
      <family val="3"/>
      <charset val="129"/>
    </font>
    <font>
      <b/>
      <vertAlign val="superscript"/>
      <sz val="8"/>
      <name val="돋움"/>
      <family val="3"/>
      <charset val="129"/>
    </font>
    <font>
      <vertAlign val="superscript"/>
      <sz val="10"/>
      <color rgb="FFFF0000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돋움"/>
      <family val="3"/>
      <charset val="129"/>
    </font>
    <font>
      <sz val="9.5"/>
      <color rgb="FF0000FF"/>
      <name val="가는각진제목체"/>
      <family val="1"/>
      <charset val="129"/>
    </font>
    <font>
      <sz val="9.5"/>
      <color rgb="FF0000FF"/>
      <name val="돋움"/>
      <family val="1"/>
      <charset val="129"/>
    </font>
    <font>
      <sz val="8"/>
      <color rgb="FF0000FF"/>
      <name val="돋움체"/>
      <family val="3"/>
      <charset val="129"/>
    </font>
    <font>
      <sz val="8"/>
      <color rgb="FF0000FF"/>
      <name val="가는각진제목체"/>
      <family val="1"/>
      <charset val="129"/>
    </font>
    <font>
      <sz val="8"/>
      <color theme="1"/>
      <name val="맑은 고딕"/>
      <family val="1"/>
      <charset val="129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ajor"/>
    </font>
    <font>
      <sz val="10"/>
      <color rgb="FF0000FF"/>
      <name val="맑은고딕"/>
      <family val="3"/>
      <charset val="129"/>
    </font>
    <font>
      <sz val="11"/>
      <color rgb="FF0000FF"/>
      <name val="맑은 고딕"/>
      <family val="2"/>
      <charset val="129"/>
      <scheme val="minor"/>
    </font>
    <font>
      <b/>
      <sz val="9.5"/>
      <color rgb="FF0000FF"/>
      <name val="가는각진제목체"/>
      <family val="1"/>
      <charset val="129"/>
    </font>
    <font>
      <sz val="9"/>
      <color rgb="FF0000FF"/>
      <name val="맑은고딕"/>
      <family val="3"/>
      <charset val="129"/>
    </font>
    <font>
      <sz val="10"/>
      <color theme="1"/>
      <name val="Microsoft YaHei"/>
      <family val="2"/>
      <charset val="134"/>
    </font>
    <font>
      <sz val="9"/>
      <name val="맑은 고딕"/>
      <family val="1"/>
      <charset val="129"/>
    </font>
    <font>
      <b/>
      <sz val="9"/>
      <name val="맑은 고딕"/>
      <family val="1"/>
      <charset val="129"/>
    </font>
    <font>
      <sz val="11"/>
      <color rgb="FF0000FF"/>
      <name val="가는각진제목체"/>
      <family val="1"/>
      <charset val="129"/>
    </font>
    <font>
      <sz val="8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FF"/>
      <name val="맑은 고딕"/>
      <family val="3"/>
      <charset val="129"/>
      <scheme val="major"/>
    </font>
    <font>
      <b/>
      <sz val="14"/>
      <color theme="1"/>
      <name val="Calibri"/>
      <family val="3"/>
      <charset val="161"/>
    </font>
    <font>
      <b/>
      <sz val="14"/>
      <color theme="1"/>
      <name val="맑은고딕"/>
      <family val="3"/>
      <charset val="129"/>
    </font>
    <font>
      <vertAlign val="superscript"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color rgb="FF0000FF"/>
      <name val="맑은 고딕"/>
      <family val="3"/>
      <charset val="129"/>
      <scheme val="major"/>
    </font>
    <font>
      <sz val="10"/>
      <color rgb="FF0000FF"/>
      <name val="가는각진제목체"/>
      <family val="1"/>
      <charset val="129"/>
    </font>
    <font>
      <sz val="8"/>
      <color rgb="FF0000FF"/>
      <name val="맑은 고딕"/>
      <family val="1"/>
      <charset val="129"/>
    </font>
    <font>
      <b/>
      <sz val="9"/>
      <color rgb="FF0000FF"/>
      <name val="맑은 고딕"/>
      <family val="3"/>
      <charset val="129"/>
      <scheme val="major"/>
    </font>
    <font>
      <sz val="9.5"/>
      <color rgb="FFFF0000"/>
      <name val="가는각진제목체"/>
      <family val="1"/>
      <charset val="129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</font>
    <font>
      <sz val="9.5"/>
      <name val="돋움"/>
      <family val="1"/>
      <charset val="129"/>
    </font>
    <font>
      <b/>
      <vertAlign val="subscript"/>
      <sz val="8"/>
      <name val="돋움"/>
      <family val="3"/>
      <charset val="129"/>
    </font>
    <font>
      <b/>
      <sz val="9"/>
      <name val="맑은 고딕"/>
      <family val="3"/>
      <charset val="129"/>
    </font>
    <font>
      <b/>
      <sz val="9"/>
      <name val="Calibri"/>
      <family val="3"/>
      <charset val="204"/>
    </font>
    <font>
      <vertAlign val="subscript"/>
      <sz val="11"/>
      <name val="맑은 고딕"/>
      <family val="3"/>
      <charset val="129"/>
      <scheme val="major"/>
    </font>
    <font>
      <b/>
      <vertAlign val="subscript"/>
      <sz val="9"/>
      <name val="맑은 고딕"/>
      <family val="3"/>
      <charset val="129"/>
      <scheme val="major"/>
    </font>
    <font>
      <sz val="11"/>
      <color rgb="FF0000FF"/>
      <name val="맑은 고딕"/>
      <family val="1"/>
      <charset val="129"/>
    </font>
    <font>
      <sz val="12.65"/>
      <name val="맑은 고딕"/>
      <family val="3"/>
      <charset val="129"/>
    </font>
    <font>
      <sz val="12.65"/>
      <name val="Calibri"/>
      <family val="3"/>
      <charset val="204"/>
    </font>
    <font>
      <sz val="11"/>
      <name val="맑은 고딕"/>
      <family val="3"/>
      <charset val="161"/>
    </font>
    <font>
      <sz val="14"/>
      <name val="Calibri"/>
      <family val="2"/>
    </font>
    <font>
      <sz val="10"/>
      <name val="맑은 고딕"/>
      <family val="3"/>
      <charset val="129"/>
    </font>
    <font>
      <sz val="9"/>
      <color theme="1"/>
      <name val="가는각진제목체"/>
      <family val="1"/>
      <charset val="129"/>
    </font>
    <font>
      <b/>
      <sz val="9"/>
      <color theme="1"/>
      <name val="Calibri"/>
      <family val="3"/>
      <charset val="161"/>
    </font>
    <font>
      <b/>
      <sz val="11"/>
      <color theme="1"/>
      <name val="Calibri"/>
      <family val="3"/>
      <charset val="161"/>
    </font>
    <font>
      <b/>
      <sz val="9"/>
      <color theme="1"/>
      <name val="맑은 고딕"/>
      <family val="3"/>
      <charset val="161"/>
      <scheme val="minor"/>
    </font>
    <font>
      <b/>
      <sz val="11"/>
      <color theme="1"/>
      <name val="Calibri"/>
      <family val="2"/>
    </font>
    <font>
      <b/>
      <sz val="9"/>
      <color theme="1"/>
      <name val="맑은 고딕"/>
      <family val="2"/>
      <charset val="161"/>
      <scheme val="minor"/>
    </font>
    <font>
      <b/>
      <sz val="9"/>
      <color theme="1"/>
      <name val="Calibri"/>
      <family val="3"/>
    </font>
    <font>
      <b/>
      <vertAlign val="superscript"/>
      <sz val="9"/>
      <color theme="1"/>
      <name val="Calibri"/>
      <family val="2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vertAlign val="subscript"/>
      <sz val="9"/>
      <color indexed="8"/>
      <name val="맑은 고딕"/>
      <family val="3"/>
      <charset val="129"/>
    </font>
    <font>
      <vertAlign val="superscript"/>
      <sz val="9"/>
      <color indexed="8"/>
      <name val="맑은 고딕"/>
      <family val="3"/>
      <charset val="129"/>
    </font>
    <font>
      <sz val="10"/>
      <color indexed="8"/>
      <name val="가는각진제목체"/>
      <family val="1"/>
      <charset val="129"/>
    </font>
    <font>
      <b/>
      <vertAlign val="subscript"/>
      <sz val="9"/>
      <color indexed="8"/>
      <name val="맑은 고딕"/>
      <family val="3"/>
      <charset val="129"/>
    </font>
    <font>
      <b/>
      <sz val="11"/>
      <color theme="0"/>
      <name val="돋움"/>
      <family val="3"/>
      <charset val="129"/>
    </font>
    <font>
      <b/>
      <sz val="10.5"/>
      <color indexed="8"/>
      <name val="맑은 고딕"/>
      <family val="3"/>
      <charset val="129"/>
    </font>
    <font>
      <b/>
      <sz val="9"/>
      <color indexed="12"/>
      <name val="맑은 고딕"/>
      <family val="3"/>
      <charset val="129"/>
    </font>
    <font>
      <sz val="9"/>
      <name val="맑은 고딕"/>
      <family val="3"/>
      <charset val="129"/>
    </font>
    <font>
      <vertAlign val="subscript"/>
      <sz val="9"/>
      <name val="맑은 고딕"/>
      <family val="3"/>
      <charset val="129"/>
    </font>
    <font>
      <vertAlign val="subscript"/>
      <sz val="9"/>
      <name val="N"/>
      <family val="3"/>
      <charset val="134"/>
    </font>
    <font>
      <sz val="9"/>
      <name val="N"/>
      <family val="3"/>
      <charset val="134"/>
    </font>
    <font>
      <vertAlign val="superscript"/>
      <sz val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vertAlign val="subscript"/>
      <sz val="9"/>
      <color rgb="FF000000"/>
      <name val="맑은 고딕"/>
      <family val="3"/>
      <charset val="129"/>
    </font>
    <font>
      <sz val="9"/>
      <color rgb="FF000000"/>
      <name val="Calibri"/>
      <family val="3"/>
      <charset val="161"/>
    </font>
    <font>
      <sz val="9"/>
      <color rgb="FF000000"/>
      <name val="맑은 고딕"/>
      <family val="3"/>
      <charset val="129"/>
    </font>
    <font>
      <vertAlign val="superscript"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61"/>
    </font>
    <font>
      <vertAlign val="subscript"/>
      <sz val="16"/>
      <color rgb="FF000000"/>
      <name val="Calibri"/>
      <family val="2"/>
    </font>
    <font>
      <sz val="16"/>
      <color rgb="FF000000"/>
      <name val="Calibri"/>
      <family val="2"/>
    </font>
    <font>
      <sz val="9"/>
      <color rgb="FF000000"/>
      <name val="Calibri"/>
      <family val="3"/>
    </font>
    <font>
      <sz val="11"/>
      <color indexed="8"/>
      <name val="맑은 고딕"/>
      <family val="3"/>
      <charset val="129"/>
    </font>
    <font>
      <b/>
      <sz val="9"/>
      <color rgb="FF000000"/>
      <name val="Calibri"/>
      <family val="3"/>
      <charset val="161"/>
    </font>
    <font>
      <b/>
      <vertAlign val="subscript"/>
      <sz val="9"/>
      <color rgb="FF000000"/>
      <name val="맑은 고딕"/>
      <family val="3"/>
      <charset val="129"/>
    </font>
    <font>
      <sz val="8"/>
      <color rgb="FFFF0000"/>
      <name val="돋움"/>
      <family val="3"/>
      <charset val="129"/>
    </font>
    <font>
      <b/>
      <vertAlign val="superscript"/>
      <sz val="9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10.5"/>
      <name val="돋움"/>
      <family val="3"/>
      <charset val="129"/>
    </font>
    <font>
      <vertAlign val="subscript"/>
      <sz val="10.5"/>
      <name val="돋움"/>
      <family val="3"/>
      <charset val="129"/>
    </font>
    <font>
      <sz val="9"/>
      <color rgb="FFFF0000"/>
      <name val="돋움"/>
      <family val="3"/>
      <charset val="129"/>
    </font>
    <font>
      <sz val="9.5"/>
      <name val="돋움"/>
      <family val="3"/>
      <charset val="129"/>
    </font>
    <font>
      <sz val="9.5"/>
      <name val="굴림"/>
      <family val="3"/>
      <charset val="129"/>
    </font>
    <font>
      <b/>
      <sz val="13"/>
      <name val="굴림"/>
      <family val="3"/>
      <charset val="129"/>
    </font>
    <font>
      <b/>
      <sz val="8"/>
      <color theme="1"/>
      <name val="돋움"/>
      <family val="3"/>
      <charset val="129"/>
    </font>
    <font>
      <b/>
      <sz val="8"/>
      <color rgb="FFFF0000"/>
      <name val="돋움"/>
      <family val="3"/>
      <charset val="129"/>
    </font>
    <font>
      <sz val="8"/>
      <color theme="0" tint="-0.34998626667073579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</font>
    <font>
      <b/>
      <sz val="13"/>
      <color theme="1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136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82">
    <xf numFmtId="0" fontId="0" fillId="0" borderId="0" xfId="0">
      <alignment vertical="center"/>
    </xf>
    <xf numFmtId="0" fontId="4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3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3" fillId="0" borderId="0" xfId="3" applyFont="1">
      <alignment vertical="center"/>
    </xf>
    <xf numFmtId="0" fontId="14" fillId="0" borderId="0" xfId="3" applyFont="1">
      <alignment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17" fillId="4" borderId="2" xfId="4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7" fillId="4" borderId="23" xfId="4" applyFont="1" applyFill="1" applyBorder="1" applyAlignment="1">
      <alignment horizontal="center" vertical="center"/>
    </xf>
    <xf numFmtId="176" fontId="33" fillId="5" borderId="26" xfId="4" applyNumberFormat="1" applyFont="1" applyFill="1" applyBorder="1" applyAlignment="1">
      <alignment vertical="center"/>
    </xf>
    <xf numFmtId="0" fontId="34" fillId="0" borderId="5" xfId="4" applyFont="1" applyBorder="1" applyAlignment="1">
      <alignment horizontal="center" vertical="center"/>
    </xf>
    <xf numFmtId="176" fontId="35" fillId="5" borderId="27" xfId="4" applyNumberFormat="1" applyFont="1" applyFill="1" applyBorder="1" applyAlignment="1">
      <alignment vertical="center"/>
    </xf>
    <xf numFmtId="0" fontId="35" fillId="5" borderId="27" xfId="4" applyFont="1" applyFill="1" applyBorder="1" applyAlignment="1">
      <alignment vertical="center"/>
    </xf>
    <xf numFmtId="178" fontId="35" fillId="0" borderId="27" xfId="4" applyNumberFormat="1" applyFont="1" applyBorder="1" applyAlignment="1">
      <alignment vertical="center"/>
    </xf>
    <xf numFmtId="2" fontId="25" fillId="5" borderId="13" xfId="0" applyNumberFormat="1" applyFont="1" applyFill="1" applyBorder="1">
      <alignment vertical="center"/>
    </xf>
    <xf numFmtId="180" fontId="25" fillId="0" borderId="14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1" fillId="0" borderId="34" xfId="0" applyFont="1" applyBorder="1">
      <alignment vertical="center"/>
    </xf>
    <xf numFmtId="0" fontId="20" fillId="0" borderId="35" xfId="0" applyFont="1" applyBorder="1">
      <alignment vertical="center"/>
    </xf>
    <xf numFmtId="0" fontId="20" fillId="0" borderId="36" xfId="0" applyFont="1" applyBorder="1">
      <alignment vertical="center"/>
    </xf>
    <xf numFmtId="176" fontId="33" fillId="5" borderId="37" xfId="4" applyNumberFormat="1" applyFont="1" applyFill="1" applyBorder="1" applyAlignment="1">
      <alignment vertical="center"/>
    </xf>
    <xf numFmtId="176" fontId="35" fillId="5" borderId="5" xfId="4" applyNumberFormat="1" applyFont="1" applyFill="1" applyBorder="1" applyAlignment="1">
      <alignment vertical="center"/>
    </xf>
    <xf numFmtId="178" fontId="35" fillId="0" borderId="5" xfId="4" applyNumberFormat="1" applyFont="1" applyBorder="1" applyAlignment="1">
      <alignment vertical="center"/>
    </xf>
    <xf numFmtId="182" fontId="7" fillId="0" borderId="0" xfId="0" applyNumberFormat="1" applyFont="1">
      <alignment vertical="center"/>
    </xf>
    <xf numFmtId="0" fontId="20" fillId="0" borderId="0" xfId="0" applyFont="1" applyAlignment="1">
      <alignment horizontal="left" vertical="center"/>
    </xf>
    <xf numFmtId="0" fontId="39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176" fontId="33" fillId="0" borderId="37" xfId="4" applyNumberFormat="1" applyFont="1" applyBorder="1" applyAlignment="1">
      <alignment vertical="center"/>
    </xf>
    <xf numFmtId="0" fontId="7" fillId="0" borderId="0" xfId="0" applyFont="1">
      <alignment vertical="center"/>
    </xf>
    <xf numFmtId="0" fontId="13" fillId="0" borderId="42" xfId="3" applyFont="1" applyBorder="1">
      <alignment vertical="center"/>
    </xf>
    <xf numFmtId="180" fontId="25" fillId="0" borderId="14" xfId="0" applyNumberFormat="1" applyFont="1" applyBorder="1">
      <alignment vertical="center"/>
    </xf>
    <xf numFmtId="0" fontId="17" fillId="0" borderId="0" xfId="0" applyFont="1">
      <alignment vertical="center"/>
    </xf>
    <xf numFmtId="0" fontId="13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13" fillId="0" borderId="8" xfId="3" applyFont="1" applyBorder="1">
      <alignment vertical="center"/>
    </xf>
    <xf numFmtId="185" fontId="13" fillId="0" borderId="8" xfId="3" applyNumberFormat="1" applyFont="1" applyBorder="1">
      <alignment vertical="center"/>
    </xf>
    <xf numFmtId="185" fontId="13" fillId="0" borderId="0" xfId="3" applyNumberFormat="1" applyFont="1">
      <alignment vertical="center"/>
    </xf>
    <xf numFmtId="0" fontId="21" fillId="0" borderId="0" xfId="4" applyFont="1" applyAlignment="1">
      <alignment horizontal="left" vertical="center"/>
    </xf>
    <xf numFmtId="0" fontId="13" fillId="0" borderId="0" xfId="3" applyFont="1" applyAlignment="1">
      <alignment horizontal="centerContinuous" vertical="center"/>
    </xf>
    <xf numFmtId="0" fontId="12" fillId="0" borderId="0" xfId="3" applyFont="1" applyAlignment="1">
      <alignment horizontal="centerContinuous" vertical="center"/>
    </xf>
    <xf numFmtId="0" fontId="13" fillId="0" borderId="0" xfId="3" applyFont="1" applyAlignment="1">
      <alignment horizontal="left" vertical="center"/>
    </xf>
    <xf numFmtId="185" fontId="13" fillId="0" borderId="0" xfId="3" applyNumberFormat="1" applyFont="1" applyAlignment="1">
      <alignment horizontal="center" vertical="center"/>
    </xf>
    <xf numFmtId="0" fontId="26" fillId="0" borderId="0" xfId="3" applyFont="1">
      <alignment vertical="center"/>
    </xf>
    <xf numFmtId="0" fontId="12" fillId="0" borderId="0" xfId="3" quotePrefix="1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0" fontId="45" fillId="0" borderId="0" xfId="3" applyFont="1" applyAlignment="1">
      <alignment horizontal="center" vertical="center"/>
    </xf>
    <xf numFmtId="0" fontId="45" fillId="0" borderId="0" xfId="3" applyFont="1">
      <alignment vertical="center"/>
    </xf>
    <xf numFmtId="0" fontId="46" fillId="0" borderId="0" xfId="3" applyFont="1">
      <alignment vertical="center"/>
    </xf>
    <xf numFmtId="0" fontId="13" fillId="0" borderId="0" xfId="3" applyFont="1" applyAlignment="1">
      <alignment horizontal="right" vertical="center"/>
    </xf>
    <xf numFmtId="176" fontId="21" fillId="0" borderId="43" xfId="4" applyNumberFormat="1" applyFont="1" applyBorder="1" applyAlignment="1">
      <alignment horizontal="left" vertical="center"/>
    </xf>
    <xf numFmtId="0" fontId="21" fillId="0" borderId="17" xfId="4" applyFont="1" applyBorder="1" applyAlignment="1">
      <alignment horizontal="center" vertical="center"/>
    </xf>
    <xf numFmtId="176" fontId="35" fillId="5" borderId="17" xfId="4" applyNumberFormat="1" applyFont="1" applyFill="1" applyBorder="1" applyAlignment="1">
      <alignment vertical="center"/>
    </xf>
    <xf numFmtId="0" fontId="35" fillId="5" borderId="46" xfId="4" applyFont="1" applyFill="1" applyBorder="1" applyAlignment="1">
      <alignment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35" xfId="4" applyFont="1" applyBorder="1" applyAlignment="1">
      <alignment horizontal="left" vertical="center"/>
    </xf>
    <xf numFmtId="0" fontId="48" fillId="0" borderId="35" xfId="4" applyFont="1" applyBorder="1" applyAlignment="1">
      <alignment vertical="center"/>
    </xf>
    <xf numFmtId="9" fontId="8" fillId="0" borderId="0" xfId="2" applyFont="1">
      <alignment vertical="center"/>
    </xf>
    <xf numFmtId="0" fontId="39" fillId="0" borderId="0" xfId="3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39" fillId="0" borderId="0" xfId="3" applyFont="1" applyAlignment="1">
      <alignment horizontal="right" vertical="center"/>
    </xf>
    <xf numFmtId="0" fontId="39" fillId="0" borderId="0" xfId="3" applyFont="1" applyAlignment="1">
      <alignment horizontal="center" vertical="center"/>
    </xf>
    <xf numFmtId="0" fontId="39" fillId="0" borderId="0" xfId="3" applyFont="1">
      <alignment vertical="center"/>
    </xf>
    <xf numFmtId="0" fontId="23" fillId="0" borderId="1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10" fillId="0" borderId="0" xfId="3" applyFont="1">
      <alignment vertical="center"/>
    </xf>
    <xf numFmtId="0" fontId="10" fillId="0" borderId="0" xfId="3" applyFont="1" applyAlignment="1">
      <alignment vertical="center" wrapText="1"/>
    </xf>
    <xf numFmtId="0" fontId="52" fillId="0" borderId="0" xfId="0" applyFont="1">
      <alignment vertical="center"/>
    </xf>
    <xf numFmtId="0" fontId="3" fillId="0" borderId="0" xfId="3">
      <alignment vertical="center"/>
    </xf>
    <xf numFmtId="0" fontId="52" fillId="0" borderId="0" xfId="0" applyFont="1" applyAlignment="1">
      <alignment horizontal="center" vertical="center"/>
    </xf>
    <xf numFmtId="0" fontId="52" fillId="5" borderId="0" xfId="0" applyFont="1" applyFill="1" applyAlignment="1">
      <alignment horizontal="center" vertical="center"/>
    </xf>
    <xf numFmtId="186" fontId="39" fillId="0" borderId="0" xfId="3" applyNumberFormat="1" applyFont="1">
      <alignment vertical="center"/>
    </xf>
    <xf numFmtId="0" fontId="52" fillId="0" borderId="0" xfId="0" applyFont="1" applyAlignment="1">
      <alignment horizontal="left" vertical="center"/>
    </xf>
    <xf numFmtId="0" fontId="3" fillId="0" borderId="0" xfId="3" applyAlignment="1">
      <alignment horizontal="center" vertical="center"/>
    </xf>
    <xf numFmtId="186" fontId="39" fillId="0" borderId="0" xfId="3" applyNumberFormat="1" applyFont="1" applyAlignment="1">
      <alignment horizontal="center" vertical="center"/>
    </xf>
    <xf numFmtId="0" fontId="52" fillId="0" borderId="0" xfId="0" quotePrefix="1" applyFont="1">
      <alignment vertical="center"/>
    </xf>
    <xf numFmtId="0" fontId="52" fillId="0" borderId="0" xfId="0" applyFont="1" applyAlignment="1">
      <alignment horizontal="right" vertical="center"/>
    </xf>
    <xf numFmtId="0" fontId="54" fillId="0" borderId="0" xfId="3" applyFont="1" applyAlignment="1">
      <alignment horizontal="left" vertical="center"/>
    </xf>
    <xf numFmtId="0" fontId="54" fillId="0" borderId="0" xfId="3" applyFont="1" applyAlignment="1">
      <alignment vertical="center" wrapText="1"/>
    </xf>
    <xf numFmtId="0" fontId="54" fillId="0" borderId="0" xfId="3" applyFont="1">
      <alignment vertical="center"/>
    </xf>
    <xf numFmtId="0" fontId="12" fillId="0" borderId="0" xfId="3" applyFont="1">
      <alignment vertical="center"/>
    </xf>
    <xf numFmtId="0" fontId="3" fillId="5" borderId="0" xfId="3" applyFill="1">
      <alignment vertical="center"/>
    </xf>
    <xf numFmtId="187" fontId="39" fillId="0" borderId="0" xfId="3" applyNumberFormat="1" applyFont="1">
      <alignment vertical="center"/>
    </xf>
    <xf numFmtId="187" fontId="13" fillId="0" borderId="0" xfId="3" applyNumberFormat="1" applyFont="1">
      <alignment vertical="center"/>
    </xf>
    <xf numFmtId="188" fontId="3" fillId="0" borderId="0" xfId="3" applyNumberFormat="1">
      <alignment vertical="center"/>
    </xf>
    <xf numFmtId="189" fontId="3" fillId="0" borderId="0" xfId="3" applyNumberFormat="1">
      <alignment vertical="center"/>
    </xf>
    <xf numFmtId="190" fontId="3" fillId="0" borderId="0" xfId="3" applyNumberFormat="1">
      <alignment vertical="center"/>
    </xf>
    <xf numFmtId="0" fontId="56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59" fillId="0" borderId="0" xfId="3" applyFont="1">
      <alignment vertical="center"/>
    </xf>
    <xf numFmtId="0" fontId="56" fillId="0" borderId="0" xfId="0" applyFont="1">
      <alignment vertical="center"/>
    </xf>
    <xf numFmtId="0" fontId="57" fillId="0" borderId="0" xfId="0" applyFont="1" applyAlignment="1">
      <alignment horizontal="left" vertical="center"/>
    </xf>
    <xf numFmtId="0" fontId="59" fillId="0" borderId="0" xfId="3" applyFont="1" applyAlignment="1">
      <alignment horizontal="center" vertical="center"/>
    </xf>
    <xf numFmtId="0" fontId="57" fillId="0" borderId="0" xfId="0" quotePrefix="1" applyFont="1">
      <alignment vertical="center"/>
    </xf>
    <xf numFmtId="0" fontId="57" fillId="0" borderId="0" xfId="0" applyFont="1" applyAlignment="1">
      <alignment horizontal="right" vertical="center"/>
    </xf>
    <xf numFmtId="0" fontId="44" fillId="0" borderId="0" xfId="3" applyFont="1" applyAlignment="1">
      <alignment horizontal="left" vertical="center"/>
    </xf>
    <xf numFmtId="191" fontId="13" fillId="0" borderId="0" xfId="3" applyNumberFormat="1" applyFont="1">
      <alignment vertical="center"/>
    </xf>
    <xf numFmtId="0" fontId="44" fillId="0" borderId="0" xfId="3" applyFont="1" applyAlignment="1">
      <alignment vertical="center" wrapText="1"/>
    </xf>
    <xf numFmtId="0" fontId="44" fillId="0" borderId="0" xfId="3" applyFont="1">
      <alignment vertical="center"/>
    </xf>
    <xf numFmtId="0" fontId="59" fillId="5" borderId="0" xfId="3" applyFont="1" applyFill="1">
      <alignment vertical="center"/>
    </xf>
    <xf numFmtId="3" fontId="53" fillId="0" borderId="0" xfId="0" applyNumberFormat="1" applyFont="1" applyAlignment="1">
      <alignment horizontal="center" vertical="center"/>
    </xf>
    <xf numFmtId="0" fontId="10" fillId="0" borderId="0" xfId="3" quotePrefix="1" applyFont="1" applyAlignment="1">
      <alignment horizontal="center" vertical="center"/>
    </xf>
    <xf numFmtId="191" fontId="39" fillId="0" borderId="0" xfId="3" applyNumberFormat="1" applyFont="1">
      <alignment vertical="center"/>
    </xf>
    <xf numFmtId="0" fontId="61" fillId="0" borderId="0" xfId="0" applyFont="1" applyAlignment="1">
      <alignment horizontal="left" vertical="center"/>
    </xf>
    <xf numFmtId="0" fontId="53" fillId="0" borderId="0" xfId="3" applyFont="1">
      <alignment vertical="center"/>
    </xf>
    <xf numFmtId="0" fontId="55" fillId="0" borderId="0" xfId="0" applyFont="1">
      <alignment vertical="center"/>
    </xf>
    <xf numFmtId="0" fontId="50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3" fillId="0" borderId="0" xfId="0" applyFont="1">
      <alignment vertical="center"/>
    </xf>
    <xf numFmtId="0" fontId="66" fillId="0" borderId="0" xfId="3" applyFont="1" applyAlignment="1">
      <alignment horizontal="center" vertical="center"/>
    </xf>
    <xf numFmtId="0" fontId="66" fillId="0" borderId="0" xfId="3" applyFont="1" applyAlignment="1">
      <alignment horizontal="left" vertical="center"/>
    </xf>
    <xf numFmtId="185" fontId="39" fillId="0" borderId="0" xfId="3" applyNumberFormat="1" applyFont="1" applyAlignment="1">
      <alignment horizontal="center" vertical="center"/>
    </xf>
    <xf numFmtId="0" fontId="3" fillId="0" borderId="0" xfId="5" applyAlignment="1">
      <alignment vertical="center"/>
    </xf>
    <xf numFmtId="0" fontId="54" fillId="0" borderId="0" xfId="5" applyFont="1" applyAlignment="1">
      <alignment vertical="center"/>
    </xf>
    <xf numFmtId="0" fontId="3" fillId="0" borderId="0" xfId="5" applyAlignment="1">
      <alignment horizontal="left" vertical="center"/>
    </xf>
    <xf numFmtId="3" fontId="3" fillId="0" borderId="0" xfId="5" applyNumberFormat="1" applyAlignment="1">
      <alignment vertical="center"/>
    </xf>
    <xf numFmtId="176" fontId="3" fillId="0" borderId="0" xfId="5" applyNumberFormat="1" applyAlignment="1">
      <alignment vertical="center"/>
    </xf>
    <xf numFmtId="0" fontId="3" fillId="0" borderId="0" xfId="5" applyAlignment="1">
      <alignment horizontal="center" vertical="center"/>
    </xf>
    <xf numFmtId="0" fontId="8" fillId="0" borderId="0" xfId="5" applyFont="1" applyAlignment="1">
      <alignment vertical="center"/>
    </xf>
    <xf numFmtId="0" fontId="8" fillId="0" borderId="0" xfId="5" applyFont="1" applyAlignment="1">
      <alignment horizontal="center" vertical="center"/>
    </xf>
    <xf numFmtId="3" fontId="8" fillId="0" borderId="0" xfId="5" applyNumberFormat="1" applyFont="1" applyAlignment="1">
      <alignment horizontal="center" vertical="center"/>
    </xf>
    <xf numFmtId="176" fontId="8" fillId="0" borderId="0" xfId="5" applyNumberFormat="1" applyFont="1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67" fillId="0" borderId="0" xfId="5" applyFont="1" applyAlignment="1">
      <alignment horizontal="center" vertical="center"/>
    </xf>
    <xf numFmtId="186" fontId="67" fillId="0" borderId="0" xfId="1" applyNumberFormat="1" applyFont="1" applyFill="1" applyBorder="1" applyAlignment="1">
      <alignment horizontal="center" vertical="center"/>
    </xf>
    <xf numFmtId="0" fontId="67" fillId="0" borderId="0" xfId="3" applyFont="1" applyAlignment="1">
      <alignment horizontal="left" vertical="center"/>
    </xf>
    <xf numFmtId="0" fontId="67" fillId="0" borderId="0" xfId="3" quotePrefix="1" applyFont="1" applyAlignment="1">
      <alignment horizontal="center" vertical="center"/>
    </xf>
    <xf numFmtId="0" fontId="69" fillId="0" borderId="0" xfId="3" applyFont="1">
      <alignment vertical="center"/>
    </xf>
    <xf numFmtId="0" fontId="39" fillId="0" borderId="35" xfId="3" applyFont="1" applyBorder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176" fontId="65" fillId="0" borderId="0" xfId="0" applyNumberFormat="1" applyFont="1" applyAlignment="1">
      <alignment horizontal="center" vertical="center" wrapText="1"/>
    </xf>
    <xf numFmtId="176" fontId="65" fillId="0" borderId="8" xfId="0" applyNumberFormat="1" applyFont="1" applyBorder="1" applyAlignment="1">
      <alignment horizontal="center" vertical="center" wrapText="1"/>
    </xf>
    <xf numFmtId="0" fontId="39" fillId="0" borderId="8" xfId="3" applyFont="1" applyBorder="1">
      <alignment vertical="center"/>
    </xf>
    <xf numFmtId="0" fontId="10" fillId="0" borderId="8" xfId="3" applyFont="1" applyBorder="1" applyAlignment="1">
      <alignment horizontal="left" vertical="center"/>
    </xf>
    <xf numFmtId="0" fontId="50" fillId="0" borderId="8" xfId="0" applyFont="1" applyBorder="1" applyAlignment="1">
      <alignment horizontal="center" vertical="center" wrapText="1"/>
    </xf>
    <xf numFmtId="3" fontId="50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9" fillId="0" borderId="0" xfId="3" applyFont="1" applyAlignment="1">
      <alignment horizontal="centerContinuous" vertical="center"/>
    </xf>
    <xf numFmtId="0" fontId="10" fillId="0" borderId="0" xfId="3" applyFont="1" applyAlignment="1">
      <alignment horizontal="centerContinuous" vertical="center"/>
    </xf>
    <xf numFmtId="0" fontId="8" fillId="0" borderId="0" xfId="3" applyFont="1" applyAlignment="1">
      <alignment horizontal="center" vertical="center"/>
    </xf>
    <xf numFmtId="185" fontId="10" fillId="0" borderId="0" xfId="3" applyNumberFormat="1" applyFont="1" applyAlignment="1">
      <alignment horizontal="center" vertical="center"/>
    </xf>
    <xf numFmtId="0" fontId="82" fillId="0" borderId="0" xfId="3" applyFont="1" applyAlignment="1">
      <alignment horizontal="left" vertical="center"/>
    </xf>
    <xf numFmtId="0" fontId="82" fillId="0" borderId="0" xfId="3" applyFont="1" applyAlignment="1">
      <alignment horizontal="center" vertical="center"/>
    </xf>
    <xf numFmtId="0" fontId="82" fillId="0" borderId="0" xfId="3" applyFont="1">
      <alignment vertical="center"/>
    </xf>
    <xf numFmtId="0" fontId="3" fillId="0" borderId="0" xfId="3" quotePrefix="1">
      <alignment vertical="center"/>
    </xf>
    <xf numFmtId="0" fontId="3" fillId="0" borderId="0" xfId="3" quotePrefix="1" applyAlignment="1">
      <alignment horizontal="center" vertical="center"/>
    </xf>
    <xf numFmtId="0" fontId="0" fillId="0" borderId="0" xfId="0" quotePrefix="1" applyAlignment="1">
      <alignment horizontal="center" vertical="center"/>
    </xf>
    <xf numFmtId="180" fontId="83" fillId="0" borderId="0" xfId="0" applyNumberFormat="1" applyFont="1">
      <alignment vertical="center"/>
    </xf>
    <xf numFmtId="191" fontId="39" fillId="0" borderId="0" xfId="3" applyNumberFormat="1" applyFont="1" applyAlignment="1">
      <alignment horizontal="center" vertical="center"/>
    </xf>
    <xf numFmtId="192" fontId="0" fillId="0" borderId="0" xfId="0" applyNumberFormat="1">
      <alignment vertical="center"/>
    </xf>
    <xf numFmtId="0" fontId="85" fillId="0" borderId="0" xfId="3" applyFont="1">
      <alignment vertical="center"/>
    </xf>
    <xf numFmtId="0" fontId="86" fillId="0" borderId="0" xfId="3" applyFont="1">
      <alignment vertical="center"/>
    </xf>
    <xf numFmtId="0" fontId="87" fillId="0" borderId="0" xfId="3" applyFont="1">
      <alignment vertical="center"/>
    </xf>
    <xf numFmtId="0" fontId="89" fillId="0" borderId="0" xfId="3" applyFont="1">
      <alignment vertical="center"/>
    </xf>
    <xf numFmtId="0" fontId="90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90" fillId="0" borderId="0" xfId="0" applyFont="1">
      <alignment vertical="center"/>
    </xf>
    <xf numFmtId="0" fontId="73" fillId="0" borderId="0" xfId="3" applyFont="1">
      <alignment vertical="center"/>
    </xf>
    <xf numFmtId="0" fontId="93" fillId="0" borderId="0" xfId="0" applyFont="1" applyAlignment="1">
      <alignment vertical="center" wrapText="1"/>
    </xf>
    <xf numFmtId="0" fontId="92" fillId="0" borderId="0" xfId="0" applyFont="1">
      <alignment vertical="center"/>
    </xf>
    <xf numFmtId="0" fontId="65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184" fontId="77" fillId="0" borderId="0" xfId="0" applyNumberFormat="1" applyFont="1" applyAlignment="1">
      <alignment vertical="center" wrapText="1"/>
    </xf>
    <xf numFmtId="176" fontId="77" fillId="0" borderId="0" xfId="0" applyNumberFormat="1" applyFont="1" applyAlignment="1">
      <alignment vertical="center" wrapText="1"/>
    </xf>
    <xf numFmtId="2" fontId="77" fillId="0" borderId="0" xfId="0" applyNumberFormat="1" applyFont="1" applyAlignment="1">
      <alignment vertical="center" wrapText="1"/>
    </xf>
    <xf numFmtId="2" fontId="77" fillId="0" borderId="0" xfId="0" applyNumberFormat="1" applyFont="1">
      <alignment vertical="center"/>
    </xf>
    <xf numFmtId="3" fontId="77" fillId="0" borderId="0" xfId="0" applyNumberFormat="1" applyFont="1">
      <alignment vertical="center"/>
    </xf>
    <xf numFmtId="0" fontId="94" fillId="0" borderId="0" xfId="3" applyFont="1">
      <alignment vertical="center"/>
    </xf>
    <xf numFmtId="193" fontId="77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176" fontId="65" fillId="0" borderId="0" xfId="0" applyNumberFormat="1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1" fillId="0" borderId="0" xfId="3" applyFont="1">
      <alignment vertical="center"/>
    </xf>
    <xf numFmtId="180" fontId="39" fillId="0" borderId="0" xfId="3" applyNumberFormat="1" applyFont="1" applyAlignment="1">
      <alignment horizontal="center" vertical="center"/>
    </xf>
    <xf numFmtId="0" fontId="96" fillId="0" borderId="0" xfId="3" applyFont="1">
      <alignment vertical="center"/>
    </xf>
    <xf numFmtId="0" fontId="97" fillId="0" borderId="0" xfId="3" applyFont="1" applyAlignment="1">
      <alignment horizontal="left" vertical="center"/>
    </xf>
    <xf numFmtId="0" fontId="39" fillId="0" borderId="0" xfId="4" applyFont="1" applyAlignment="1">
      <alignment vertical="center"/>
    </xf>
    <xf numFmtId="0" fontId="39" fillId="0" borderId="0" xfId="4" applyFont="1" applyAlignment="1">
      <alignment horizontal="center" vertical="center"/>
    </xf>
    <xf numFmtId="0" fontId="39" fillId="0" borderId="48" xfId="4" applyFont="1" applyBorder="1" applyAlignment="1">
      <alignment vertical="center"/>
    </xf>
    <xf numFmtId="0" fontId="39" fillId="0" borderId="45" xfId="4" applyFont="1" applyBorder="1" applyAlignment="1">
      <alignment vertical="center"/>
    </xf>
    <xf numFmtId="0" fontId="8" fillId="5" borderId="0" xfId="3" applyFont="1" applyFill="1">
      <alignment vertical="center"/>
    </xf>
    <xf numFmtId="0" fontId="39" fillId="0" borderId="35" xfId="4" applyFont="1" applyBorder="1" applyAlignment="1">
      <alignment vertical="center"/>
    </xf>
    <xf numFmtId="0" fontId="39" fillId="0" borderId="35" xfId="4" applyFont="1" applyBorder="1" applyAlignment="1">
      <alignment horizontal="center" vertical="center"/>
    </xf>
    <xf numFmtId="0" fontId="39" fillId="0" borderId="15" xfId="4" applyFont="1" applyBorder="1" applyAlignment="1">
      <alignment vertical="center"/>
    </xf>
    <xf numFmtId="0" fontId="100" fillId="0" borderId="0" xfId="5" applyFont="1" applyAlignment="1">
      <alignment horizontal="center" vertical="center"/>
    </xf>
    <xf numFmtId="0" fontId="100" fillId="0" borderId="0" xfId="5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176" fontId="39" fillId="0" borderId="0" xfId="5" applyNumberFormat="1" applyFont="1" applyAlignment="1">
      <alignment horizontal="center" vertical="center" shrinkToFit="1"/>
    </xf>
    <xf numFmtId="2" fontId="39" fillId="0" borderId="0" xfId="5" applyNumberFormat="1" applyFont="1" applyAlignment="1">
      <alignment horizontal="center" vertical="center" shrinkToFit="1"/>
    </xf>
    <xf numFmtId="2" fontId="95" fillId="0" borderId="0" xfId="5" applyNumberFormat="1" applyFont="1" applyAlignment="1">
      <alignment horizontal="center" vertical="center" shrinkToFit="1"/>
    </xf>
    <xf numFmtId="0" fontId="10" fillId="0" borderId="0" xfId="5" applyFont="1" applyAlignment="1">
      <alignment horizontal="left" vertical="center"/>
    </xf>
    <xf numFmtId="0" fontId="39" fillId="0" borderId="0" xfId="5" applyFont="1" applyAlignment="1">
      <alignment vertical="center"/>
    </xf>
    <xf numFmtId="194" fontId="39" fillId="0" borderId="0" xfId="5" quotePrefix="1" applyNumberFormat="1" applyFont="1" applyAlignment="1">
      <alignment horizontal="center" vertical="center"/>
    </xf>
    <xf numFmtId="182" fontId="39" fillId="0" borderId="0" xfId="3" applyNumberFormat="1" applyFont="1">
      <alignment vertical="center"/>
    </xf>
    <xf numFmtId="194" fontId="13" fillId="0" borderId="0" xfId="5" quotePrefix="1" applyNumberFormat="1" applyFont="1" applyAlignment="1">
      <alignment horizontal="center" vertical="center"/>
    </xf>
    <xf numFmtId="182" fontId="13" fillId="0" borderId="0" xfId="3" applyNumberFormat="1" applyFont="1">
      <alignment vertical="center"/>
    </xf>
    <xf numFmtId="194" fontId="39" fillId="0" borderId="0" xfId="5" applyNumberFormat="1" applyFont="1" applyAlignment="1">
      <alignment vertical="center"/>
    </xf>
    <xf numFmtId="9" fontId="39" fillId="0" borderId="0" xfId="3" applyNumberFormat="1" applyFont="1" applyAlignment="1">
      <alignment horizontal="center" vertical="center"/>
    </xf>
    <xf numFmtId="4" fontId="39" fillId="0" borderId="0" xfId="3" applyNumberFormat="1" applyFont="1">
      <alignment vertical="center"/>
    </xf>
    <xf numFmtId="2" fontId="39" fillId="0" borderId="0" xfId="3" applyNumberFormat="1" applyFont="1" applyAlignment="1">
      <alignment horizontal="center" vertical="center"/>
    </xf>
    <xf numFmtId="195" fontId="39" fillId="0" borderId="0" xfId="3" applyNumberFormat="1" applyFont="1" applyAlignment="1">
      <alignment horizontal="center" vertical="center"/>
    </xf>
    <xf numFmtId="185" fontId="39" fillId="0" borderId="0" xfId="3" applyNumberFormat="1" applyFont="1" applyAlignment="1">
      <alignment horizontal="left" vertical="center"/>
    </xf>
    <xf numFmtId="0" fontId="54" fillId="0" borderId="0" xfId="3" applyFont="1" applyAlignment="1">
      <alignment horizontal="center" vertical="center"/>
    </xf>
    <xf numFmtId="0" fontId="3" fillId="0" borderId="0" xfId="3" applyAlignment="1">
      <alignment horizontal="left" vertical="center"/>
    </xf>
    <xf numFmtId="185" fontId="3" fillId="0" borderId="0" xfId="3" applyNumberFormat="1" applyAlignment="1">
      <alignment horizontal="left" vertical="center"/>
    </xf>
    <xf numFmtId="185" fontId="3" fillId="0" borderId="0" xfId="3" applyNumberFormat="1" applyAlignment="1">
      <alignment horizontal="center" vertical="center"/>
    </xf>
    <xf numFmtId="0" fontId="95" fillId="0" borderId="0" xfId="3" applyFont="1" applyAlignment="1">
      <alignment horizontal="left" vertical="center"/>
    </xf>
    <xf numFmtId="185" fontId="84" fillId="0" borderId="0" xfId="3" applyNumberFormat="1" applyFont="1" applyAlignment="1">
      <alignment horizontal="left" vertical="center"/>
    </xf>
    <xf numFmtId="191" fontId="95" fillId="0" borderId="0" xfId="3" applyNumberFormat="1" applyFont="1" applyAlignment="1">
      <alignment horizontal="center" vertical="center"/>
    </xf>
    <xf numFmtId="0" fontId="95" fillId="0" borderId="0" xfId="3" quotePrefix="1" applyFont="1" applyAlignment="1">
      <alignment horizontal="left" vertical="center"/>
    </xf>
    <xf numFmtId="0" fontId="95" fillId="0" borderId="0" xfId="3" applyFont="1" applyAlignment="1">
      <alignment horizontal="center" vertical="center"/>
    </xf>
    <xf numFmtId="185" fontId="95" fillId="0" borderId="0" xfId="3" applyNumberFormat="1" applyFont="1" applyAlignment="1">
      <alignment horizontal="center" vertical="center"/>
    </xf>
    <xf numFmtId="0" fontId="95" fillId="0" borderId="0" xfId="3" applyFont="1">
      <alignment vertical="center"/>
    </xf>
    <xf numFmtId="0" fontId="84" fillId="0" borderId="0" xfId="3" applyFont="1">
      <alignment vertical="center"/>
    </xf>
    <xf numFmtId="196" fontId="95" fillId="0" borderId="0" xfId="3" applyNumberFormat="1" applyFont="1">
      <alignment vertical="center"/>
    </xf>
    <xf numFmtId="196" fontId="54" fillId="0" borderId="0" xfId="3" applyNumberFormat="1" applyFont="1">
      <alignment vertical="center"/>
    </xf>
    <xf numFmtId="0" fontId="103" fillId="0" borderId="0" xfId="3" applyFont="1">
      <alignment vertical="center"/>
    </xf>
    <xf numFmtId="0" fontId="103" fillId="0" borderId="0" xfId="3" applyFont="1" applyAlignment="1">
      <alignment horizontal="center" vertical="center"/>
    </xf>
    <xf numFmtId="0" fontId="104" fillId="0" borderId="0" xfId="3" applyFont="1" applyAlignment="1">
      <alignment horizontal="center" vertical="center"/>
    </xf>
    <xf numFmtId="3" fontId="8" fillId="0" borderId="0" xfId="5" applyNumberFormat="1" applyFont="1" applyAlignment="1">
      <alignment vertical="center"/>
    </xf>
    <xf numFmtId="1" fontId="39" fillId="0" borderId="0" xfId="3" applyNumberFormat="1" applyFont="1">
      <alignment vertical="center"/>
    </xf>
    <xf numFmtId="0" fontId="105" fillId="0" borderId="0" xfId="4" applyFont="1" applyAlignment="1">
      <alignment horizontal="left" vertical="center"/>
    </xf>
    <xf numFmtId="0" fontId="103" fillId="0" borderId="35" xfId="3" applyFont="1" applyBorder="1">
      <alignment vertical="center"/>
    </xf>
    <xf numFmtId="0" fontId="106" fillId="0" borderId="0" xfId="3" applyFont="1" applyAlignment="1">
      <alignment horizontal="left" vertical="center"/>
    </xf>
    <xf numFmtId="0" fontId="54" fillId="0" borderId="0" xfId="5" applyFont="1" applyAlignment="1">
      <alignment horizontal="left" vertical="center"/>
    </xf>
    <xf numFmtId="0" fontId="84" fillId="0" borderId="0" xfId="5" applyFont="1" applyAlignment="1">
      <alignment vertical="center"/>
    </xf>
    <xf numFmtId="0" fontId="39" fillId="0" borderId="0" xfId="5" applyFont="1" applyAlignment="1">
      <alignment horizontal="center" vertical="center"/>
    </xf>
    <xf numFmtId="0" fontId="39" fillId="0" borderId="0" xfId="5" applyFont="1" applyAlignment="1">
      <alignment horizontal="left" vertical="center"/>
    </xf>
    <xf numFmtId="0" fontId="84" fillId="0" borderId="0" xfId="5" applyFont="1" applyAlignment="1">
      <alignment horizontal="left" vertical="center"/>
    </xf>
    <xf numFmtId="0" fontId="82" fillId="0" borderId="0" xfId="5" applyFont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105" fillId="0" borderId="0" xfId="4" applyFont="1" applyAlignment="1">
      <alignment vertical="center"/>
    </xf>
    <xf numFmtId="0" fontId="107" fillId="0" borderId="0" xfId="0" applyFont="1" applyAlignment="1">
      <alignment horizontal="left" vertical="center"/>
    </xf>
    <xf numFmtId="0" fontId="108" fillId="0" borderId="0" xfId="5" applyFont="1" applyAlignment="1">
      <alignment vertical="center"/>
    </xf>
    <xf numFmtId="0" fontId="23" fillId="0" borderId="0" xfId="5" applyFont="1" applyAlignment="1">
      <alignment vertical="center"/>
    </xf>
    <xf numFmtId="0" fontId="110" fillId="0" borderId="27" xfId="4" applyFont="1" applyBorder="1" applyAlignment="1">
      <alignment vertical="center"/>
    </xf>
    <xf numFmtId="2" fontId="8" fillId="0" borderId="0" xfId="5" applyNumberFormat="1" applyFont="1" applyAlignment="1">
      <alignment horizontal="center" vertical="center"/>
    </xf>
    <xf numFmtId="0" fontId="113" fillId="0" borderId="0" xfId="4" applyFont="1" applyAlignment="1">
      <alignment vertical="center" wrapText="1"/>
    </xf>
    <xf numFmtId="0" fontId="117" fillId="0" borderId="0" xfId="4" applyFont="1" applyAlignment="1">
      <alignment vertical="center"/>
    </xf>
    <xf numFmtId="176" fontId="26" fillId="0" borderId="37" xfId="3" applyNumberFormat="1" applyFont="1" applyBorder="1">
      <alignment vertical="center"/>
    </xf>
    <xf numFmtId="0" fontId="26" fillId="0" borderId="5" xfId="3" applyFont="1" applyBorder="1" applyAlignment="1">
      <alignment horizontal="center" vertical="center"/>
    </xf>
    <xf numFmtId="176" fontId="26" fillId="0" borderId="5" xfId="5" applyNumberFormat="1" applyFont="1" applyBorder="1" applyAlignment="1">
      <alignment vertical="center"/>
    </xf>
    <xf numFmtId="198" fontId="8" fillId="0" borderId="0" xfId="5" applyNumberFormat="1" applyFont="1" applyAlignment="1">
      <alignment vertical="center"/>
    </xf>
    <xf numFmtId="0" fontId="110" fillId="0" borderId="5" xfId="4" applyFont="1" applyBorder="1" applyAlignment="1">
      <alignment vertical="center"/>
    </xf>
    <xf numFmtId="176" fontId="26" fillId="0" borderId="76" xfId="3" applyNumberFormat="1" applyFont="1" applyBorder="1">
      <alignment vertical="center"/>
    </xf>
    <xf numFmtId="0" fontId="26" fillId="0" borderId="23" xfId="3" applyFont="1" applyBorder="1" applyAlignment="1">
      <alignment horizontal="center" vertical="center"/>
    </xf>
    <xf numFmtId="176" fontId="26" fillId="0" borderId="23" xfId="5" applyNumberFormat="1" applyFont="1" applyBorder="1" applyAlignment="1">
      <alignment vertical="center"/>
    </xf>
    <xf numFmtId="199" fontId="8" fillId="0" borderId="0" xfId="5" applyNumberFormat="1" applyFont="1" applyAlignment="1">
      <alignment vertical="center"/>
    </xf>
    <xf numFmtId="176" fontId="26" fillId="0" borderId="78" xfId="3" applyNumberFormat="1" applyFont="1" applyBorder="1">
      <alignment vertical="center"/>
    </xf>
    <xf numFmtId="0" fontId="26" fillId="0" borderId="79" xfId="3" applyFont="1" applyBorder="1" applyAlignment="1">
      <alignment horizontal="center" vertical="center"/>
    </xf>
    <xf numFmtId="176" fontId="26" fillId="0" borderId="79" xfId="5" applyNumberFormat="1" applyFont="1" applyBorder="1" applyAlignment="1">
      <alignment vertical="center"/>
    </xf>
    <xf numFmtId="198" fontId="23" fillId="0" borderId="0" xfId="5" applyNumberFormat="1" applyFont="1" applyAlignment="1">
      <alignment vertical="center"/>
    </xf>
    <xf numFmtId="2" fontId="8" fillId="0" borderId="0" xfId="3" applyNumberFormat="1" applyFont="1">
      <alignment vertical="center"/>
    </xf>
    <xf numFmtId="2" fontId="8" fillId="0" borderId="0" xfId="0" applyNumberFormat="1" applyFont="1">
      <alignment vertical="center"/>
    </xf>
    <xf numFmtId="181" fontId="8" fillId="0" borderId="0" xfId="3" applyNumberFormat="1" applyFont="1">
      <alignment vertical="center"/>
    </xf>
    <xf numFmtId="181" fontId="8" fillId="0" borderId="0" xfId="3" quotePrefix="1" applyNumberFormat="1" applyFont="1">
      <alignment vertical="center"/>
    </xf>
    <xf numFmtId="0" fontId="119" fillId="0" borderId="7" xfId="0" applyFont="1" applyBorder="1">
      <alignment vertical="center"/>
    </xf>
    <xf numFmtId="0" fontId="119" fillId="0" borderId="8" xfId="0" applyFont="1" applyBorder="1" applyAlignment="1">
      <alignment horizontal="center" vertical="center"/>
    </xf>
    <xf numFmtId="0" fontId="119" fillId="0" borderId="40" xfId="0" applyFont="1" applyBorder="1" applyAlignment="1">
      <alignment horizontal="center" vertical="center"/>
    </xf>
    <xf numFmtId="0" fontId="119" fillId="0" borderId="41" xfId="0" applyFont="1" applyBorder="1" applyAlignment="1">
      <alignment horizontal="center" vertical="center"/>
    </xf>
    <xf numFmtId="201" fontId="119" fillId="0" borderId="0" xfId="0" applyNumberFormat="1" applyFont="1" applyAlignment="1">
      <alignment horizontal="center" vertical="center"/>
    </xf>
    <xf numFmtId="194" fontId="118" fillId="0" borderId="0" xfId="0" applyNumberFormat="1" applyFont="1">
      <alignment vertical="center"/>
    </xf>
    <xf numFmtId="194" fontId="118" fillId="0" borderId="14" xfId="0" applyNumberFormat="1" applyFont="1" applyBorder="1">
      <alignment vertical="center"/>
    </xf>
    <xf numFmtId="2" fontId="3" fillId="0" borderId="0" xfId="5" applyNumberFormat="1" applyAlignment="1">
      <alignment horizontal="center" vertical="center"/>
    </xf>
    <xf numFmtId="202" fontId="119" fillId="0" borderId="41" xfId="0" applyNumberFormat="1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02" fontId="119" fillId="0" borderId="34" xfId="0" applyNumberFormat="1" applyFont="1" applyBorder="1" applyAlignment="1">
      <alignment horizontal="center" vertical="center"/>
    </xf>
    <xf numFmtId="201" fontId="119" fillId="0" borderId="35" xfId="0" applyNumberFormat="1" applyFont="1" applyBorder="1" applyAlignment="1">
      <alignment horizontal="center" vertical="center"/>
    </xf>
    <xf numFmtId="194" fontId="118" fillId="0" borderId="35" xfId="0" applyNumberFormat="1" applyFont="1" applyBorder="1">
      <alignment vertical="center"/>
    </xf>
    <xf numFmtId="194" fontId="118" fillId="0" borderId="36" xfId="0" applyNumberFormat="1" applyFont="1" applyBorder="1">
      <alignment vertical="center"/>
    </xf>
    <xf numFmtId="194" fontId="118" fillId="0" borderId="8" xfId="0" applyNumberFormat="1" applyFont="1" applyBorder="1" applyAlignment="1">
      <alignment horizontal="center" vertical="center"/>
    </xf>
    <xf numFmtId="194" fontId="118" fillId="0" borderId="40" xfId="0" applyNumberFormat="1" applyFont="1" applyBorder="1" applyAlignment="1">
      <alignment horizontal="center" vertical="center"/>
    </xf>
    <xf numFmtId="201" fontId="119" fillId="5" borderId="0" xfId="0" applyNumberFormat="1" applyFont="1" applyFill="1" applyAlignment="1">
      <alignment horizontal="center" vertical="center"/>
    </xf>
    <xf numFmtId="203" fontId="11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204" fontId="119" fillId="0" borderId="41" xfId="0" applyNumberFormat="1" applyFont="1" applyBorder="1" applyAlignment="1">
      <alignment horizontal="center" vertical="center"/>
    </xf>
    <xf numFmtId="204" fontId="119" fillId="0" borderId="3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9" fillId="0" borderId="35" xfId="0" applyFont="1" applyBorder="1">
      <alignment vertical="center"/>
    </xf>
    <xf numFmtId="0" fontId="119" fillId="0" borderId="36" xfId="0" applyFont="1" applyBorder="1" applyAlignment="1">
      <alignment horizontal="center" vertical="center"/>
    </xf>
    <xf numFmtId="0" fontId="122" fillId="0" borderId="0" xfId="0" applyFont="1" applyAlignment="1">
      <alignment horizontal="left" vertical="center"/>
    </xf>
    <xf numFmtId="207" fontId="49" fillId="0" borderId="0" xfId="3" applyNumberFormat="1" applyFont="1">
      <alignment vertical="center"/>
    </xf>
    <xf numFmtId="207" fontId="23" fillId="0" borderId="0" xfId="3" applyNumberFormat="1" applyFont="1">
      <alignment vertical="center"/>
    </xf>
    <xf numFmtId="0" fontId="104" fillId="0" borderId="0" xfId="3" applyFont="1">
      <alignment vertical="center"/>
    </xf>
    <xf numFmtId="0" fontId="23" fillId="0" borderId="0" xfId="3" applyFont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3" fillId="0" borderId="8" xfId="3" applyBorder="1">
      <alignment vertical="center"/>
    </xf>
    <xf numFmtId="0" fontId="3" fillId="0" borderId="8" xfId="5" applyBorder="1" applyAlignment="1">
      <alignment horizontal="left" vertical="center"/>
    </xf>
    <xf numFmtId="0" fontId="23" fillId="0" borderId="0" xfId="5" applyFont="1" applyAlignment="1">
      <alignment horizontal="center" vertical="center"/>
    </xf>
    <xf numFmtId="186" fontId="8" fillId="0" borderId="0" xfId="1" applyNumberFormat="1" applyFont="1" applyBorder="1" applyAlignment="1">
      <alignment horizontal="center" vertical="center"/>
    </xf>
    <xf numFmtId="186" fontId="3" fillId="0" borderId="35" xfId="1" applyNumberFormat="1" applyFont="1" applyBorder="1" applyAlignment="1">
      <alignment horizontal="center" vertical="center"/>
    </xf>
    <xf numFmtId="2" fontId="3" fillId="0" borderId="35" xfId="5" quotePrefix="1" applyNumberFormat="1" applyBorder="1" applyAlignment="1">
      <alignment horizontal="center" vertical="center"/>
    </xf>
    <xf numFmtId="2" fontId="3" fillId="0" borderId="35" xfId="5" applyNumberFormat="1" applyBorder="1" applyAlignment="1">
      <alignment horizontal="center" vertical="center"/>
    </xf>
    <xf numFmtId="0" fontId="3" fillId="0" borderId="35" xfId="5" applyBorder="1" applyAlignment="1">
      <alignment horizontal="center" vertical="center"/>
    </xf>
    <xf numFmtId="0" fontId="3" fillId="0" borderId="35" xfId="5" quotePrefix="1" applyBorder="1" applyAlignment="1">
      <alignment horizontal="center" vertical="center"/>
    </xf>
    <xf numFmtId="176" fontId="3" fillId="0" borderId="35" xfId="5" applyNumberFormat="1" applyBorder="1" applyAlignment="1">
      <alignment horizontal="center" vertical="center"/>
    </xf>
    <xf numFmtId="1" fontId="3" fillId="0" borderId="0" xfId="3" applyNumberFormat="1">
      <alignment vertical="center"/>
    </xf>
    <xf numFmtId="0" fontId="59" fillId="0" borderId="8" xfId="3" applyFont="1" applyBorder="1">
      <alignment vertical="center"/>
    </xf>
    <xf numFmtId="0" fontId="59" fillId="0" borderId="8" xfId="5" applyFont="1" applyBorder="1" applyAlignment="1">
      <alignment horizontal="left" vertical="center"/>
    </xf>
    <xf numFmtId="186" fontId="3" fillId="0" borderId="0" xfId="1" applyNumberFormat="1" applyFont="1" applyBorder="1" applyAlignment="1">
      <alignment horizontal="center" vertical="center"/>
    </xf>
    <xf numFmtId="186" fontId="3" fillId="0" borderId="0" xfId="1" quotePrefix="1" applyNumberFormat="1" applyFont="1" applyBorder="1" applyAlignment="1">
      <alignment horizontal="center" vertical="center"/>
    </xf>
    <xf numFmtId="0" fontId="3" fillId="0" borderId="0" xfId="5" quotePrefix="1" applyAlignment="1">
      <alignment horizontal="center" vertical="center"/>
    </xf>
    <xf numFmtId="0" fontId="3" fillId="0" borderId="35" xfId="3" applyBorder="1">
      <alignment vertical="center"/>
    </xf>
    <xf numFmtId="181" fontId="69" fillId="0" borderId="0" xfId="3" applyNumberFormat="1" applyFont="1">
      <alignment vertical="center"/>
    </xf>
    <xf numFmtId="0" fontId="129" fillId="0" borderId="14" xfId="0" applyFont="1" applyBorder="1" applyAlignment="1">
      <alignment horizontal="center" vertical="center" wrapText="1"/>
    </xf>
    <xf numFmtId="176" fontId="33" fillId="5" borderId="72" xfId="4" applyNumberFormat="1" applyFont="1" applyFill="1" applyBorder="1" applyAlignment="1">
      <alignment vertical="center"/>
    </xf>
    <xf numFmtId="0" fontId="17" fillId="5" borderId="73" xfId="4" applyFont="1" applyFill="1" applyBorder="1" applyAlignment="1">
      <alignment horizontal="center" vertical="center"/>
    </xf>
    <xf numFmtId="176" fontId="35" fillId="5" borderId="73" xfId="4" applyNumberFormat="1" applyFont="1" applyFill="1" applyBorder="1" applyAlignment="1">
      <alignment vertical="center"/>
    </xf>
    <xf numFmtId="0" fontId="35" fillId="0" borderId="27" xfId="4" applyFont="1" applyBorder="1" applyAlignment="1">
      <alignment vertical="center"/>
    </xf>
    <xf numFmtId="0" fontId="110" fillId="5" borderId="27" xfId="4" applyFont="1" applyFill="1" applyBorder="1" applyAlignment="1">
      <alignment vertical="center"/>
    </xf>
    <xf numFmtId="178" fontId="35" fillId="5" borderId="27" xfId="4" applyNumberFormat="1" applyFont="1" applyFill="1" applyBorder="1" applyAlignment="1">
      <alignment vertical="center"/>
    </xf>
    <xf numFmtId="176" fontId="33" fillId="5" borderId="5" xfId="4" applyNumberFormat="1" applyFont="1" applyFill="1" applyBorder="1" applyAlignment="1">
      <alignment horizontal="center" vertical="center"/>
    </xf>
    <xf numFmtId="176" fontId="33" fillId="5" borderId="5" xfId="4" applyNumberFormat="1" applyFont="1" applyFill="1" applyBorder="1" applyAlignment="1">
      <alignment vertical="center"/>
    </xf>
    <xf numFmtId="178" fontId="35" fillId="5" borderId="5" xfId="4" applyNumberFormat="1" applyFont="1" applyFill="1" applyBorder="1" applyAlignment="1">
      <alignment vertical="center"/>
    </xf>
    <xf numFmtId="178" fontId="35" fillId="5" borderId="5" xfId="4" applyNumberFormat="1" applyFont="1" applyFill="1" applyBorder="1" applyAlignment="1">
      <alignment horizontal="right" vertical="center"/>
    </xf>
    <xf numFmtId="176" fontId="33" fillId="0" borderId="5" xfId="4" applyNumberFormat="1" applyFont="1" applyBorder="1" applyAlignment="1">
      <alignment horizontal="center" vertical="center"/>
    </xf>
    <xf numFmtId="176" fontId="33" fillId="0" borderId="5" xfId="4" applyNumberFormat="1" applyFont="1" applyBorder="1" applyAlignment="1">
      <alignment vertical="center"/>
    </xf>
    <xf numFmtId="176" fontId="26" fillId="0" borderId="83" xfId="3" applyNumberFormat="1" applyFont="1" applyBorder="1">
      <alignment vertical="center"/>
    </xf>
    <xf numFmtId="0" fontId="26" fillId="0" borderId="84" xfId="3" applyFont="1" applyBorder="1" applyAlignment="1">
      <alignment horizontal="center" vertical="center"/>
    </xf>
    <xf numFmtId="176" fontId="26" fillId="0" borderId="84" xfId="5" applyNumberFormat="1" applyFont="1" applyBorder="1" applyAlignment="1">
      <alignment vertical="center"/>
    </xf>
    <xf numFmtId="0" fontId="23" fillId="0" borderId="0" xfId="0" applyFont="1">
      <alignment vertical="center"/>
    </xf>
    <xf numFmtId="206" fontId="95" fillId="0" borderId="0" xfId="0" applyNumberFormat="1" applyFont="1">
      <alignment vertical="center"/>
    </xf>
    <xf numFmtId="0" fontId="95" fillId="0" borderId="0" xfId="0" applyFont="1">
      <alignment vertical="center"/>
    </xf>
    <xf numFmtId="0" fontId="49" fillId="0" borderId="0" xfId="0" applyFont="1">
      <alignment vertical="center"/>
    </xf>
    <xf numFmtId="0" fontId="17" fillId="0" borderId="5" xfId="4" applyFont="1" applyBorder="1" applyAlignment="1">
      <alignment horizontal="center" vertical="center"/>
    </xf>
    <xf numFmtId="176" fontId="35" fillId="0" borderId="5" xfId="4" applyNumberFormat="1" applyFont="1" applyBorder="1" applyAlignment="1">
      <alignment vertical="center"/>
    </xf>
    <xf numFmtId="0" fontId="38" fillId="0" borderId="0" xfId="0" applyFont="1">
      <alignment vertical="center"/>
    </xf>
    <xf numFmtId="176" fontId="3" fillId="0" borderId="0" xfId="0" applyNumberFormat="1" applyFont="1">
      <alignment vertical="center"/>
    </xf>
    <xf numFmtId="176" fontId="53" fillId="0" borderId="0" xfId="0" applyNumberFormat="1" applyFont="1" applyAlignment="1">
      <alignment horizontal="center" vertical="center"/>
    </xf>
    <xf numFmtId="197" fontId="54" fillId="0" borderId="0" xfId="0" applyNumberFormat="1" applyFont="1" applyAlignment="1">
      <alignment horizontal="center" vertical="center"/>
    </xf>
    <xf numFmtId="198" fontId="3" fillId="0" borderId="0" xfId="0" quotePrefix="1" applyNumberFormat="1" applyFont="1" applyAlignment="1">
      <alignment horizontal="center" vertical="center"/>
    </xf>
    <xf numFmtId="1" fontId="3" fillId="0" borderId="0" xfId="0" quotePrefix="1" applyNumberFormat="1" applyFont="1" applyAlignment="1">
      <alignment horizontal="center" vertical="center"/>
    </xf>
    <xf numFmtId="0" fontId="110" fillId="5" borderId="5" xfId="4" applyFont="1" applyFill="1" applyBorder="1" applyAlignment="1">
      <alignment vertical="center"/>
    </xf>
    <xf numFmtId="176" fontId="3" fillId="0" borderId="35" xfId="0" applyNumberFormat="1" applyFont="1" applyBorder="1">
      <alignment vertical="center"/>
    </xf>
    <xf numFmtId="176" fontId="3" fillId="0" borderId="35" xfId="0" applyNumberFormat="1" applyFont="1" applyBorder="1" applyAlignment="1">
      <alignment horizontal="center" vertical="center"/>
    </xf>
    <xf numFmtId="198" fontId="3" fillId="0" borderId="35" xfId="0" applyNumberFormat="1" applyFont="1" applyBorder="1" applyAlignment="1">
      <alignment horizontal="center" vertical="center"/>
    </xf>
    <xf numFmtId="176" fontId="53" fillId="0" borderId="35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43" xfId="4" applyFont="1" applyBorder="1" applyAlignment="1">
      <alignment horizontal="left" vertical="center"/>
    </xf>
    <xf numFmtId="0" fontId="17" fillId="0" borderId="17" xfId="4" applyFont="1" applyBorder="1" applyAlignment="1">
      <alignment horizontal="left" vertical="center"/>
    </xf>
    <xf numFmtId="0" fontId="21" fillId="0" borderId="17" xfId="4" applyFont="1" applyBorder="1" applyAlignment="1">
      <alignment horizontal="left" vertical="center"/>
    </xf>
    <xf numFmtId="0" fontId="131" fillId="0" borderId="0" xfId="0" applyFont="1" applyAlignment="1">
      <alignment horizontal="left" vertical="center"/>
    </xf>
    <xf numFmtId="0" fontId="132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209" fontId="8" fillId="0" borderId="0" xfId="3" applyNumberFormat="1" applyFont="1">
      <alignment vertical="center"/>
    </xf>
    <xf numFmtId="0" fontId="132" fillId="0" borderId="0" xfId="0" applyFont="1" applyAlignment="1">
      <alignment horizontal="left" vertical="center"/>
    </xf>
    <xf numFmtId="0" fontId="132" fillId="0" borderId="0" xfId="0" quotePrefix="1" applyFont="1" applyAlignment="1">
      <alignment horizontal="center" vertical="center"/>
    </xf>
    <xf numFmtId="0" fontId="119" fillId="8" borderId="7" xfId="0" applyFont="1" applyFill="1" applyBorder="1">
      <alignment vertical="center"/>
    </xf>
    <xf numFmtId="0" fontId="119" fillId="8" borderId="8" xfId="0" applyFont="1" applyFill="1" applyBorder="1" applyAlignment="1">
      <alignment horizontal="center" vertical="center"/>
    </xf>
    <xf numFmtId="194" fontId="118" fillId="8" borderId="8" xfId="0" applyNumberFormat="1" applyFont="1" applyFill="1" applyBorder="1" applyAlignment="1">
      <alignment horizontal="center" vertical="center"/>
    </xf>
    <xf numFmtId="194" fontId="118" fillId="8" borderId="40" xfId="0" applyNumberFormat="1" applyFont="1" applyFill="1" applyBorder="1" applyAlignment="1">
      <alignment horizontal="center" vertical="center"/>
    </xf>
    <xf numFmtId="0" fontId="119" fillId="8" borderId="41" xfId="0" applyFont="1" applyFill="1" applyBorder="1" applyAlignment="1">
      <alignment horizontal="center" vertical="center"/>
    </xf>
    <xf numFmtId="203" fontId="119" fillId="8" borderId="0" xfId="0" applyNumberFormat="1" applyFont="1" applyFill="1" applyAlignment="1">
      <alignment horizontal="center" vertical="center"/>
    </xf>
    <xf numFmtId="194" fontId="118" fillId="8" borderId="0" xfId="0" applyNumberFormat="1" applyFont="1" applyFill="1">
      <alignment vertical="center"/>
    </xf>
    <xf numFmtId="194" fontId="118" fillId="8" borderId="14" xfId="0" applyNumberFormat="1" applyFont="1" applyFill="1" applyBorder="1">
      <alignment vertical="center"/>
    </xf>
    <xf numFmtId="201" fontId="8" fillId="0" borderId="0" xfId="3" applyNumberFormat="1" applyFont="1">
      <alignment vertical="center"/>
    </xf>
    <xf numFmtId="204" fontId="119" fillId="8" borderId="41" xfId="0" applyNumberFormat="1" applyFont="1" applyFill="1" applyBorder="1" applyAlignment="1">
      <alignment horizontal="center" vertical="center"/>
    </xf>
    <xf numFmtId="201" fontId="119" fillId="8" borderId="0" xfId="0" applyNumberFormat="1" applyFont="1" applyFill="1" applyAlignment="1">
      <alignment horizontal="center" vertical="center"/>
    </xf>
    <xf numFmtId="211" fontId="8" fillId="0" borderId="0" xfId="3" applyNumberFormat="1" applyFont="1">
      <alignment vertical="center"/>
    </xf>
    <xf numFmtId="204" fontId="119" fillId="8" borderId="34" xfId="0" applyNumberFormat="1" applyFont="1" applyFill="1" applyBorder="1" applyAlignment="1">
      <alignment horizontal="center" vertical="center"/>
    </xf>
    <xf numFmtId="201" fontId="119" fillId="8" borderId="35" xfId="0" applyNumberFormat="1" applyFont="1" applyFill="1" applyBorder="1" applyAlignment="1">
      <alignment horizontal="center" vertical="center"/>
    </xf>
    <xf numFmtId="194" fontId="118" fillId="8" borderId="35" xfId="0" applyNumberFormat="1" applyFont="1" applyFill="1" applyBorder="1">
      <alignment vertical="center"/>
    </xf>
    <xf numFmtId="194" fontId="118" fillId="8" borderId="36" xfId="0" applyNumberFormat="1" applyFont="1" applyFill="1" applyBorder="1">
      <alignment vertical="center"/>
    </xf>
    <xf numFmtId="0" fontId="119" fillId="0" borderId="0" xfId="0" applyFont="1" applyAlignment="1">
      <alignment horizontal="left" vertical="center"/>
    </xf>
    <xf numFmtId="210" fontId="135" fillId="0" borderId="0" xfId="0" applyNumberFormat="1" applyFont="1">
      <alignment vertical="center"/>
    </xf>
    <xf numFmtId="0" fontId="136" fillId="0" borderId="0" xfId="0" applyFont="1" applyAlignment="1">
      <alignment horizontal="center" vertical="center"/>
    </xf>
    <xf numFmtId="0" fontId="136" fillId="0" borderId="0" xfId="0" applyFont="1" applyAlignment="1">
      <alignment horizontal="left" vertical="center"/>
    </xf>
    <xf numFmtId="181" fontId="119" fillId="0" borderId="0" xfId="0" applyNumberFormat="1" applyFont="1">
      <alignment vertical="center"/>
    </xf>
    <xf numFmtId="0" fontId="136" fillId="0" borderId="0" xfId="0" applyFont="1">
      <alignment vertical="center"/>
    </xf>
    <xf numFmtId="0" fontId="137" fillId="0" borderId="0" xfId="0" applyFont="1" applyAlignment="1">
      <alignment horizontal="left" vertical="center"/>
    </xf>
    <xf numFmtId="181" fontId="138" fillId="0" borderId="0" xfId="0" applyNumberFormat="1" applyFont="1">
      <alignment vertical="center"/>
    </xf>
    <xf numFmtId="0" fontId="119" fillId="0" borderId="0" xfId="0" applyFont="1">
      <alignment vertical="center"/>
    </xf>
    <xf numFmtId="0" fontId="118" fillId="0" borderId="0" xfId="0" applyFont="1">
      <alignment vertical="center"/>
    </xf>
    <xf numFmtId="0" fontId="118" fillId="0" borderId="0" xfId="0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207" fontId="49" fillId="0" borderId="0" xfId="3" applyNumberFormat="1" applyFont="1" applyAlignment="1">
      <alignment horizontal="center" vertical="center"/>
    </xf>
    <xf numFmtId="207" fontId="8" fillId="0" borderId="0" xfId="3" applyNumberFormat="1" applyFont="1" applyAlignment="1">
      <alignment horizontal="center" vertical="center"/>
    </xf>
    <xf numFmtId="0" fontId="23" fillId="0" borderId="0" xfId="3" applyFont="1" applyAlignment="1">
      <alignment horizontal="left" vertical="center"/>
    </xf>
    <xf numFmtId="0" fontId="135" fillId="0" borderId="0" xfId="0" applyFont="1">
      <alignment vertical="center"/>
    </xf>
    <xf numFmtId="176" fontId="26" fillId="0" borderId="86" xfId="3" applyNumberFormat="1" applyFont="1" applyBorder="1">
      <alignment vertical="center"/>
    </xf>
    <xf numFmtId="0" fontId="26" fillId="0" borderId="46" xfId="3" applyFont="1" applyBorder="1" applyAlignment="1">
      <alignment horizontal="center" vertical="center"/>
    </xf>
    <xf numFmtId="176" fontId="26" fillId="0" borderId="46" xfId="5" applyNumberFormat="1" applyFont="1" applyBorder="1" applyAlignment="1">
      <alignment vertical="center"/>
    </xf>
    <xf numFmtId="0" fontId="4" fillId="0" borderId="0" xfId="3" applyFont="1">
      <alignment vertical="center"/>
    </xf>
    <xf numFmtId="0" fontId="92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  <xf numFmtId="215" fontId="0" fillId="0" borderId="0" xfId="0" applyNumberFormat="1">
      <alignment vertical="center"/>
    </xf>
    <xf numFmtId="0" fontId="0" fillId="9" borderId="39" xfId="0" applyFill="1" applyBorder="1">
      <alignment vertical="center"/>
    </xf>
    <xf numFmtId="0" fontId="0" fillId="0" borderId="39" xfId="0" applyBorder="1">
      <alignment vertical="center"/>
    </xf>
    <xf numFmtId="0" fontId="0" fillId="9" borderId="39" xfId="0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216" fontId="0" fillId="0" borderId="0" xfId="0" applyNumberFormat="1">
      <alignment vertical="center"/>
    </xf>
    <xf numFmtId="0" fontId="146" fillId="0" borderId="0" xfId="3" applyFont="1" applyAlignment="1">
      <alignment horizontal="center" vertical="center"/>
    </xf>
    <xf numFmtId="0" fontId="146" fillId="0" borderId="91" xfId="3" applyFont="1" applyBorder="1" applyAlignment="1">
      <alignment horizontal="center" vertical="center"/>
    </xf>
    <xf numFmtId="0" fontId="147" fillId="0" borderId="0" xfId="3" applyFont="1" applyAlignment="1">
      <alignment horizontal="centerContinuous" vertical="center"/>
    </xf>
    <xf numFmtId="0" fontId="148" fillId="0" borderId="0" xfId="3" applyFont="1" applyAlignment="1">
      <alignment horizontal="centerContinuous" vertical="center"/>
    </xf>
    <xf numFmtId="0" fontId="147" fillId="0" borderId="91" xfId="3" applyFont="1" applyBorder="1" applyAlignment="1">
      <alignment horizontal="centerContinuous" vertical="center"/>
    </xf>
    <xf numFmtId="0" fontId="148" fillId="0" borderId="91" xfId="3" applyFont="1" applyBorder="1" applyAlignment="1">
      <alignment horizontal="centerContinuous" vertical="center"/>
    </xf>
    <xf numFmtId="0" fontId="149" fillId="0" borderId="0" xfId="3" applyFont="1" applyAlignment="1">
      <alignment horizontal="centerContinuous" vertical="center"/>
    </xf>
    <xf numFmtId="14" fontId="150" fillId="0" borderId="0" xfId="3" applyNumberFormat="1" applyFont="1" applyAlignment="1">
      <alignment horizontal="centerContinuous" vertical="center"/>
    </xf>
    <xf numFmtId="0" fontId="9" fillId="0" borderId="0" xfId="3" applyFont="1" applyAlignment="1">
      <alignment horizontal="center" vertical="center"/>
    </xf>
    <xf numFmtId="0" fontId="9" fillId="0" borderId="0" xfId="3" applyFont="1">
      <alignment vertical="center"/>
    </xf>
    <xf numFmtId="0" fontId="23" fillId="0" borderId="0" xfId="3" applyFont="1">
      <alignment vertical="center"/>
    </xf>
    <xf numFmtId="0" fontId="23" fillId="0" borderId="0" xfId="5" applyFont="1" applyAlignment="1">
      <alignment horizontal="left" vertical="center"/>
    </xf>
    <xf numFmtId="0" fontId="7" fillId="0" borderId="0" xfId="5" applyFont="1" applyAlignment="1">
      <alignment vertical="center"/>
    </xf>
    <xf numFmtId="194" fontId="7" fillId="0" borderId="0" xfId="5" applyNumberFormat="1" applyFont="1" applyAlignment="1">
      <alignment vertical="center"/>
    </xf>
    <xf numFmtId="194" fontId="7" fillId="0" borderId="0" xfId="5" quotePrefix="1" applyNumberFormat="1" applyFont="1" applyAlignment="1">
      <alignment horizontal="center" vertical="center"/>
    </xf>
    <xf numFmtId="182" fontId="7" fillId="0" borderId="0" xfId="3" applyNumberFormat="1" applyFont="1">
      <alignment vertical="center"/>
    </xf>
    <xf numFmtId="0" fontId="23" fillId="0" borderId="0" xfId="3" quotePrefix="1" applyFont="1">
      <alignment vertical="center"/>
    </xf>
    <xf numFmtId="0" fontId="8" fillId="0" borderId="0" xfId="3" applyFont="1" applyAlignment="1">
      <alignment horizontal="left" vertical="center"/>
    </xf>
    <xf numFmtId="0" fontId="152" fillId="0" borderId="0" xfId="3" applyFont="1" applyAlignment="1">
      <alignment horizontal="centerContinuous" vertical="center"/>
    </xf>
    <xf numFmtId="0" fontId="3" fillId="0" borderId="0" xfId="3" applyAlignment="1">
      <alignment horizontal="centerContinuous" vertical="center"/>
    </xf>
    <xf numFmtId="0" fontId="153" fillId="0" borderId="0" xfId="3" applyFont="1">
      <alignment vertical="center"/>
    </xf>
    <xf numFmtId="0" fontId="154" fillId="0" borderId="0" xfId="3" applyFont="1">
      <alignment vertical="center"/>
    </xf>
    <xf numFmtId="0" fontId="155" fillId="0" borderId="0" xfId="3" applyFont="1">
      <alignment vertical="center"/>
    </xf>
    <xf numFmtId="219" fontId="155" fillId="0" borderId="0" xfId="3" applyNumberFormat="1" applyFont="1" applyAlignment="1">
      <alignment horizontal="left" vertical="center" indent="1"/>
    </xf>
    <xf numFmtId="0" fontId="155" fillId="0" borderId="0" xfId="3" applyFont="1" applyAlignment="1">
      <alignment horizontal="left" vertical="center" indent="3"/>
    </xf>
    <xf numFmtId="220" fontId="157" fillId="0" borderId="0" xfId="3" applyNumberFormat="1" applyFont="1" applyAlignment="1">
      <alignment horizontal="distributed" vertical="center" indent="2"/>
    </xf>
    <xf numFmtId="0" fontId="3" fillId="0" borderId="0" xfId="3" applyAlignment="1">
      <alignment horizontal="justify" vertical="center"/>
    </xf>
    <xf numFmtId="0" fontId="158" fillId="0" borderId="0" xfId="3" applyFont="1" applyAlignment="1">
      <alignment vertical="center" wrapText="1"/>
    </xf>
    <xf numFmtId="0" fontId="159" fillId="0" borderId="0" xfId="3" applyFont="1">
      <alignment vertical="center"/>
    </xf>
    <xf numFmtId="0" fontId="158" fillId="0" borderId="0" xfId="3" applyFont="1">
      <alignment vertical="center"/>
    </xf>
    <xf numFmtId="0" fontId="161" fillId="0" borderId="0" xfId="3" applyFont="1" applyAlignment="1">
      <alignment horizontal="right" vertical="center"/>
    </xf>
    <xf numFmtId="0" fontId="161" fillId="0" borderId="0" xfId="3" applyFont="1" applyAlignment="1">
      <alignment horizontal="right" vertical="center" wrapText="1"/>
    </xf>
    <xf numFmtId="0" fontId="8" fillId="0" borderId="50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162" fillId="0" borderId="0" xfId="3" applyFont="1">
      <alignment vertical="center"/>
    </xf>
    <xf numFmtId="0" fontId="13" fillId="0" borderId="35" xfId="3" applyFont="1" applyBorder="1">
      <alignment vertical="center"/>
    </xf>
    <xf numFmtId="0" fontId="124" fillId="0" borderId="0" xfId="3" applyFont="1" applyAlignment="1"/>
    <xf numFmtId="0" fontId="8" fillId="0" borderId="0" xfId="3" applyFont="1" applyAlignment="1"/>
    <xf numFmtId="0" fontId="3" fillId="0" borderId="0" xfId="0" quotePrefix="1" applyFont="1">
      <alignment vertical="center"/>
    </xf>
    <xf numFmtId="0" fontId="13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3" fillId="0" borderId="35" xfId="3" applyBorder="1" applyAlignment="1">
      <alignment horizontal="center" vertical="center"/>
    </xf>
    <xf numFmtId="0" fontId="163" fillId="0" borderId="0" xfId="3" applyFont="1" applyAlignment="1">
      <alignment horizontal="left" vertical="center"/>
    </xf>
    <xf numFmtId="0" fontId="73" fillId="0" borderId="0" xfId="3" applyFont="1" applyAlignment="1">
      <alignment vertical="center" wrapText="1"/>
    </xf>
    <xf numFmtId="186" fontId="7" fillId="0" borderId="0" xfId="3" applyNumberFormat="1" applyFont="1">
      <alignment vertical="center"/>
    </xf>
    <xf numFmtId="0" fontId="7" fillId="0" borderId="0" xfId="3" applyFont="1" applyAlignment="1">
      <alignment horizontal="center" vertical="center"/>
    </xf>
    <xf numFmtId="186" fontId="7" fillId="0" borderId="0" xfId="3" applyNumberFormat="1" applyFont="1" applyAlignment="1">
      <alignment horizontal="center" vertical="center"/>
    </xf>
    <xf numFmtId="188" fontId="8" fillId="0" borderId="0" xfId="3" applyNumberFormat="1" applyFont="1">
      <alignment vertical="center"/>
    </xf>
    <xf numFmtId="189" fontId="8" fillId="0" borderId="0" xfId="3" applyNumberFormat="1" applyFont="1">
      <alignment vertical="center"/>
    </xf>
    <xf numFmtId="187" fontId="7" fillId="0" borderId="0" xfId="3" applyNumberFormat="1" applyFont="1">
      <alignment vertical="center"/>
    </xf>
    <xf numFmtId="0" fontId="73" fillId="0" borderId="0" xfId="3" quotePrefix="1" applyFont="1" applyAlignment="1">
      <alignment horizontal="center" vertical="center"/>
    </xf>
    <xf numFmtId="0" fontId="23" fillId="0" borderId="0" xfId="3" applyFont="1" applyAlignment="1">
      <alignment vertical="center" wrapText="1"/>
    </xf>
    <xf numFmtId="190" fontId="8" fillId="0" borderId="0" xfId="3" applyNumberFormat="1" applyFont="1">
      <alignment vertical="center"/>
    </xf>
    <xf numFmtId="0" fontId="8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>
      <alignment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100" fillId="0" borderId="35" xfId="5" applyFont="1" applyBorder="1" applyAlignment="1">
      <alignment horizontal="center" vertical="center"/>
    </xf>
    <xf numFmtId="0" fontId="39" fillId="0" borderId="35" xfId="3" applyFont="1" applyBorder="1">
      <alignment vertical="center"/>
    </xf>
    <xf numFmtId="0" fontId="10" fillId="0" borderId="35" xfId="3" quotePrefix="1" applyFont="1" applyBorder="1" applyAlignment="1">
      <alignment horizontal="center" vertical="center"/>
    </xf>
    <xf numFmtId="0" fontId="10" fillId="0" borderId="35" xfId="3" applyFont="1" applyBorder="1" applyAlignment="1">
      <alignment horizontal="left" vertical="center"/>
    </xf>
    <xf numFmtId="0" fontId="39" fillId="0" borderId="35" xfId="3" applyFont="1" applyBorder="1" applyAlignment="1">
      <alignment horizontal="left" vertical="center"/>
    </xf>
    <xf numFmtId="0" fontId="10" fillId="0" borderId="35" xfId="3" applyFont="1" applyBorder="1" applyAlignment="1">
      <alignment horizontal="center" vertical="center"/>
    </xf>
    <xf numFmtId="0" fontId="8" fillId="0" borderId="35" xfId="3" applyFont="1" applyBorder="1">
      <alignment vertical="center"/>
    </xf>
    <xf numFmtId="0" fontId="23" fillId="0" borderId="35" xfId="3" applyFont="1" applyBorder="1" applyAlignment="1">
      <alignment horizontal="left" vertical="center"/>
    </xf>
    <xf numFmtId="0" fontId="135" fillId="0" borderId="35" xfId="0" applyFont="1" applyBorder="1">
      <alignment vertical="center"/>
    </xf>
    <xf numFmtId="0" fontId="119" fillId="0" borderId="35" xfId="0" applyFont="1" applyBorder="1" applyAlignment="1">
      <alignment horizontal="center" vertical="center"/>
    </xf>
    <xf numFmtId="216" fontId="55" fillId="0" borderId="0" xfId="0" applyNumberFormat="1" applyFont="1">
      <alignment vertical="center"/>
    </xf>
    <xf numFmtId="0" fontId="0" fillId="9" borderId="35" xfId="0" applyFill="1" applyBorder="1" applyAlignment="1">
      <alignment horizontal="justify" vertical="center"/>
    </xf>
    <xf numFmtId="0" fontId="0" fillId="0" borderId="8" xfId="0" applyBorder="1" applyAlignment="1">
      <alignment horizontal="justify" vertical="center"/>
    </xf>
    <xf numFmtId="0" fontId="0" fillId="0" borderId="8" xfId="0" applyBorder="1">
      <alignment vertical="center"/>
    </xf>
    <xf numFmtId="0" fontId="54" fillId="0" borderId="35" xfId="3" applyFont="1" applyBorder="1" applyAlignment="1">
      <alignment horizontal="left" vertical="center"/>
    </xf>
    <xf numFmtId="0" fontId="125" fillId="0" borderId="0" xfId="3" applyFont="1" applyAlignment="1">
      <alignment horizontal="center" vertical="center"/>
    </xf>
    <xf numFmtId="0" fontId="169" fillId="0" borderId="0" xfId="3" applyFont="1">
      <alignment vertical="center"/>
    </xf>
    <xf numFmtId="0" fontId="170" fillId="0" borderId="0" xfId="3" applyFont="1" applyAlignment="1">
      <alignment horizontal="left" vertical="center"/>
    </xf>
    <xf numFmtId="0" fontId="172" fillId="0" borderId="0" xfId="4" applyFont="1" applyAlignment="1">
      <alignment horizontal="left" vertical="center"/>
    </xf>
    <xf numFmtId="0" fontId="172" fillId="0" borderId="0" xfId="4" applyFont="1" applyAlignment="1">
      <alignment vertical="center"/>
    </xf>
    <xf numFmtId="0" fontId="172" fillId="0" borderId="0" xfId="0" applyFont="1" applyAlignment="1">
      <alignment horizontal="left" vertical="center"/>
    </xf>
    <xf numFmtId="0" fontId="173" fillId="0" borderId="0" xfId="4" applyFont="1" applyAlignment="1">
      <alignment horizontal="left" vertical="center"/>
    </xf>
    <xf numFmtId="0" fontId="176" fillId="0" borderId="5" xfId="4" applyFont="1" applyBorder="1" applyAlignment="1">
      <alignment horizontal="center" vertical="center"/>
    </xf>
    <xf numFmtId="176" fontId="110" fillId="0" borderId="37" xfId="4" applyNumberFormat="1" applyFont="1" applyBorder="1" applyAlignment="1">
      <alignment vertical="center"/>
    </xf>
    <xf numFmtId="0" fontId="110" fillId="0" borderId="17" xfId="4" applyFont="1" applyBorder="1" applyAlignment="1">
      <alignment horizontal="center" vertical="center"/>
    </xf>
    <xf numFmtId="0" fontId="177" fillId="0" borderId="39" xfId="0" applyFont="1" applyBorder="1">
      <alignment vertical="center"/>
    </xf>
    <xf numFmtId="216" fontId="177" fillId="0" borderId="39" xfId="0" applyNumberFormat="1" applyFont="1" applyBorder="1">
      <alignment vertical="center"/>
    </xf>
    <xf numFmtId="41" fontId="177" fillId="0" borderId="35" xfId="1" applyFont="1" applyBorder="1">
      <alignment vertical="center"/>
    </xf>
    <xf numFmtId="218" fontId="177" fillId="0" borderId="35" xfId="0" applyNumberFormat="1" applyFont="1" applyBorder="1">
      <alignment vertical="center"/>
    </xf>
    <xf numFmtId="0" fontId="103" fillId="0" borderId="0" xfId="3" applyFont="1" applyAlignment="1">
      <alignment horizontal="left" vertical="center"/>
    </xf>
    <xf numFmtId="0" fontId="162" fillId="5" borderId="0" xfId="0" applyFont="1" applyFill="1" applyAlignment="1">
      <alignment horizontal="center" vertical="center"/>
    </xf>
    <xf numFmtId="192" fontId="181" fillId="0" borderId="0" xfId="0" applyNumberFormat="1" applyFont="1">
      <alignment vertical="center"/>
    </xf>
    <xf numFmtId="0" fontId="173" fillId="0" borderId="0" xfId="4" applyFont="1" applyAlignment="1">
      <alignment vertical="center"/>
    </xf>
    <xf numFmtId="0" fontId="182" fillId="0" borderId="0" xfId="0" applyFont="1" applyAlignment="1">
      <alignment horizontal="left" vertical="center"/>
    </xf>
    <xf numFmtId="181" fontId="162" fillId="0" borderId="0" xfId="3" applyNumberFormat="1" applyFont="1">
      <alignment vertical="center"/>
    </xf>
    <xf numFmtId="0" fontId="20" fillId="0" borderId="31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1" xfId="0" applyFont="1" applyBorder="1">
      <alignment vertical="center"/>
    </xf>
    <xf numFmtId="0" fontId="20" fillId="0" borderId="39" xfId="0" applyFont="1" applyBorder="1">
      <alignment vertical="center"/>
    </xf>
    <xf numFmtId="0" fontId="20" fillId="0" borderId="32" xfId="0" applyFont="1" applyBorder="1">
      <alignment vertical="center"/>
    </xf>
    <xf numFmtId="41" fontId="57" fillId="0" borderId="0" xfId="1" applyFont="1">
      <alignment vertical="center"/>
    </xf>
    <xf numFmtId="0" fontId="188" fillId="0" borderId="5" xfId="3" applyFont="1" applyBorder="1" applyAlignment="1">
      <alignment horizontal="center" vertical="center"/>
    </xf>
    <xf numFmtId="0" fontId="188" fillId="0" borderId="46" xfId="3" applyFont="1" applyBorder="1" applyAlignment="1">
      <alignment horizontal="center" vertical="center"/>
    </xf>
    <xf numFmtId="186" fontId="162" fillId="0" borderId="0" xfId="3" applyNumberFormat="1" applyFont="1">
      <alignment vertical="center"/>
    </xf>
    <xf numFmtId="0" fontId="8" fillId="0" borderId="0" xfId="3" quotePrefix="1" applyFont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223" fontId="177" fillId="0" borderId="39" xfId="0" quotePrefix="1" applyNumberFormat="1" applyFont="1" applyBorder="1">
      <alignment vertical="center"/>
    </xf>
    <xf numFmtId="3" fontId="40" fillId="3" borderId="17" xfId="0" applyNumberFormat="1" applyFont="1" applyFill="1" applyBorder="1">
      <alignment vertical="center"/>
    </xf>
    <xf numFmtId="0" fontId="41" fillId="3" borderId="17" xfId="0" applyFont="1" applyFill="1" applyBorder="1" applyAlignment="1">
      <alignment vertical="center" wrapText="1"/>
    </xf>
    <xf numFmtId="0" fontId="179" fillId="9" borderId="5" xfId="0" applyFont="1" applyFill="1" applyBorder="1" applyAlignment="1">
      <alignment vertical="center" wrapText="1"/>
    </xf>
    <xf numFmtId="184" fontId="179" fillId="9" borderId="5" xfId="0" applyNumberFormat="1" applyFont="1" applyFill="1" applyBorder="1" applyAlignment="1">
      <alignment vertical="center" wrapText="1"/>
    </xf>
    <xf numFmtId="0" fontId="26" fillId="0" borderId="0" xfId="0" applyFont="1" applyAlignment="1">
      <alignment horizontal="right" vertical="center"/>
    </xf>
    <xf numFmtId="0" fontId="176" fillId="0" borderId="27" xfId="4" applyFont="1" applyBorder="1" applyAlignment="1">
      <alignment horizontal="center" vertical="center"/>
    </xf>
    <xf numFmtId="0" fontId="17" fillId="4" borderId="5" xfId="4" applyFont="1" applyFill="1" applyBorder="1" applyAlignment="1">
      <alignment horizontal="center" vertical="center"/>
    </xf>
    <xf numFmtId="191" fontId="8" fillId="0" borderId="0" xfId="3" applyNumberFormat="1" applyFont="1">
      <alignment vertical="center"/>
    </xf>
    <xf numFmtId="206" fontId="8" fillId="0" borderId="0" xfId="3" applyNumberFormat="1" applyFont="1">
      <alignment vertical="center"/>
    </xf>
    <xf numFmtId="0" fontId="54" fillId="0" borderId="0" xfId="0" applyFont="1">
      <alignment vertical="center"/>
    </xf>
    <xf numFmtId="0" fontId="197" fillId="0" borderId="0" xfId="5" applyFont="1" applyAlignment="1">
      <alignment horizontal="left" vertical="center"/>
    </xf>
    <xf numFmtId="4" fontId="44" fillId="0" borderId="0" xfId="3" applyNumberFormat="1" applyFont="1">
      <alignment vertical="center"/>
    </xf>
    <xf numFmtId="3" fontId="198" fillId="9" borderId="5" xfId="0" applyNumberFormat="1" applyFont="1" applyFill="1" applyBorder="1" applyAlignment="1">
      <alignment vertical="center" wrapText="1"/>
    </xf>
    <xf numFmtId="223" fontId="193" fillId="9" borderId="5" xfId="0" quotePrefix="1" applyNumberFormat="1" applyFont="1" applyFill="1" applyBorder="1" applyAlignment="1">
      <alignment horizontal="right" vertical="center" wrapText="1"/>
    </xf>
    <xf numFmtId="223" fontId="177" fillId="5" borderId="5" xfId="0" quotePrefix="1" applyNumberFormat="1" applyFont="1" applyFill="1" applyBorder="1" applyAlignment="1">
      <alignment horizontal="right" vertical="center"/>
    </xf>
    <xf numFmtId="176" fontId="175" fillId="5" borderId="27" xfId="4" applyNumberFormat="1" applyFont="1" applyFill="1" applyBorder="1" applyAlignment="1">
      <alignment vertical="center"/>
    </xf>
    <xf numFmtId="176" fontId="175" fillId="5" borderId="5" xfId="4" applyNumberFormat="1" applyFont="1" applyFill="1" applyBorder="1" applyAlignment="1">
      <alignment vertical="center"/>
    </xf>
    <xf numFmtId="176" fontId="110" fillId="0" borderId="26" xfId="4" applyNumberFormat="1" applyFont="1" applyBorder="1" applyAlignment="1">
      <alignment vertical="center"/>
    </xf>
    <xf numFmtId="176" fontId="21" fillId="0" borderId="27" xfId="4" applyNumberFormat="1" applyFont="1" applyBorder="1" applyAlignment="1">
      <alignment vertical="center"/>
    </xf>
    <xf numFmtId="176" fontId="33" fillId="0" borderId="26" xfId="4" applyNumberFormat="1" applyFont="1" applyBorder="1" applyAlignment="1">
      <alignment vertical="center"/>
    </xf>
    <xf numFmtId="0" fontId="202" fillId="0" borderId="0" xfId="4" applyFont="1" applyAlignment="1">
      <alignment horizontal="center" vertical="center"/>
    </xf>
    <xf numFmtId="0" fontId="17" fillId="0" borderId="27" xfId="4" applyFont="1" applyBorder="1" applyAlignment="1">
      <alignment horizontal="center" vertical="center"/>
    </xf>
    <xf numFmtId="178" fontId="21" fillId="0" borderId="5" xfId="4" applyNumberFormat="1" applyFont="1" applyBorder="1" applyAlignment="1">
      <alignment vertical="center"/>
    </xf>
    <xf numFmtId="2" fontId="25" fillId="0" borderId="13" xfId="0" applyNumberFormat="1" applyFont="1" applyBorder="1">
      <alignment vertical="center"/>
    </xf>
    <xf numFmtId="0" fontId="34" fillId="0" borderId="27" xfId="4" applyFont="1" applyBorder="1" applyAlignment="1">
      <alignment horizontal="center" vertical="center"/>
    </xf>
    <xf numFmtId="0" fontId="202" fillId="0" borderId="0" xfId="4" applyFont="1" applyAlignment="1">
      <alignment horizontal="left" vertical="center"/>
    </xf>
    <xf numFmtId="0" fontId="8" fillId="0" borderId="0" xfId="3" quotePrefix="1" applyFont="1">
      <alignment vertical="center"/>
    </xf>
    <xf numFmtId="224" fontId="8" fillId="0" borderId="0" xfId="1" quotePrefix="1" applyNumberFormat="1" applyFont="1" applyBorder="1" applyAlignment="1">
      <alignment horizontal="right" vertical="center"/>
    </xf>
    <xf numFmtId="17" fontId="8" fillId="0" borderId="0" xfId="3" quotePrefix="1" applyNumberFormat="1" applyFont="1" applyAlignment="1">
      <alignment horizontal="right" vertical="center"/>
    </xf>
    <xf numFmtId="0" fontId="91" fillId="0" borderId="0" xfId="0" applyFont="1" applyAlignment="1">
      <alignment horizontal="left" vertical="center"/>
    </xf>
    <xf numFmtId="0" fontId="90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212" fontId="21" fillId="0" borderId="5" xfId="4" applyNumberFormat="1" applyFont="1" applyBorder="1" applyAlignment="1">
      <alignment vertical="center"/>
    </xf>
    <xf numFmtId="3" fontId="8" fillId="0" borderId="0" xfId="3" applyNumberFormat="1" applyFont="1">
      <alignment vertical="center"/>
    </xf>
    <xf numFmtId="41" fontId="199" fillId="5" borderId="52" xfId="1" applyFont="1" applyFill="1" applyBorder="1" applyAlignment="1">
      <alignment vertical="center"/>
    </xf>
    <xf numFmtId="3" fontId="40" fillId="3" borderId="17" xfId="0" applyNumberFormat="1" applyFont="1" applyFill="1" applyBorder="1" applyAlignment="1">
      <alignment horizontal="center" vertical="center"/>
    </xf>
    <xf numFmtId="221" fontId="188" fillId="0" borderId="37" xfId="3" applyNumberFormat="1" applyFont="1" applyBorder="1">
      <alignment vertical="center"/>
    </xf>
    <xf numFmtId="221" fontId="188" fillId="0" borderId="83" xfId="3" applyNumberFormat="1" applyFont="1" applyBorder="1">
      <alignment vertical="center"/>
    </xf>
    <xf numFmtId="221" fontId="188" fillId="0" borderId="86" xfId="3" applyNumberFormat="1" applyFont="1" applyBorder="1">
      <alignment vertical="center"/>
    </xf>
    <xf numFmtId="221" fontId="188" fillId="0" borderId="5" xfId="5" applyNumberFormat="1" applyFont="1" applyBorder="1" applyAlignment="1">
      <alignment vertical="center"/>
    </xf>
    <xf numFmtId="221" fontId="188" fillId="0" borderId="46" xfId="5" applyNumberFormat="1" applyFont="1" applyBorder="1" applyAlignment="1">
      <alignment vertical="center"/>
    </xf>
    <xf numFmtId="221" fontId="188" fillId="0" borderId="23" xfId="5" applyNumberFormat="1" applyFont="1" applyBorder="1" applyAlignment="1">
      <alignment vertical="center"/>
    </xf>
    <xf numFmtId="176" fontId="179" fillId="9" borderId="5" xfId="0" applyNumberFormat="1" applyFont="1" applyFill="1" applyBorder="1" applyAlignment="1">
      <alignment vertical="center" wrapText="1"/>
    </xf>
    <xf numFmtId="3" fontId="198" fillId="9" borderId="5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4" fontId="10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3" fillId="0" borderId="0" xfId="5" applyFont="1" applyAlignment="1">
      <alignment horizontal="center" vertical="center"/>
    </xf>
    <xf numFmtId="186" fontId="53" fillId="0" borderId="0" xfId="1" applyNumberFormat="1" applyFont="1" applyFill="1" applyBorder="1" applyAlignment="1">
      <alignment horizontal="center" vertical="center"/>
    </xf>
    <xf numFmtId="0" fontId="53" fillId="0" borderId="0" xfId="3" quotePrefix="1" applyFont="1" applyAlignment="1">
      <alignment horizontal="center" vertical="center"/>
    </xf>
    <xf numFmtId="186" fontId="53" fillId="0" borderId="0" xfId="1" quotePrefix="1" applyNumberFormat="1" applyFont="1" applyFill="1" applyBorder="1" applyAlignment="1">
      <alignment horizontal="center" vertical="center"/>
    </xf>
    <xf numFmtId="0" fontId="53" fillId="0" borderId="0" xfId="3" quotePrefix="1" applyFont="1" applyAlignment="1">
      <alignment horizontal="left" vertical="center"/>
    </xf>
    <xf numFmtId="206" fontId="53" fillId="0" borderId="0" xfId="1" applyNumberFormat="1" applyFont="1" applyFill="1" applyBorder="1" applyAlignment="1">
      <alignment horizontal="center" vertical="center"/>
    </xf>
    <xf numFmtId="0" fontId="53" fillId="0" borderId="8" xfId="5" quotePrefix="1" applyFont="1" applyBorder="1" applyAlignment="1">
      <alignment horizontal="center" vertical="center"/>
    </xf>
    <xf numFmtId="0" fontId="53" fillId="0" borderId="8" xfId="5" applyFont="1" applyBorder="1" applyAlignment="1">
      <alignment horizontal="center" vertical="center"/>
    </xf>
    <xf numFmtId="186" fontId="53" fillId="0" borderId="8" xfId="1" quotePrefix="1" applyNumberFormat="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212" fontId="203" fillId="0" borderId="27" xfId="1" applyNumberFormat="1" applyFont="1" applyFill="1" applyBorder="1" applyAlignment="1">
      <alignment vertical="center"/>
    </xf>
    <xf numFmtId="212" fontId="20" fillId="0" borderId="27" xfId="1" applyNumberFormat="1" applyFont="1" applyFill="1" applyBorder="1" applyAlignment="1">
      <alignment vertical="center"/>
    </xf>
    <xf numFmtId="212" fontId="35" fillId="0" borderId="27" xfId="4" applyNumberFormat="1" applyFont="1" applyBorder="1" applyAlignment="1">
      <alignment vertical="center"/>
    </xf>
    <xf numFmtId="212" fontId="35" fillId="0" borderId="5" xfId="4" applyNumberFormat="1" applyFont="1" applyBorder="1" applyAlignment="1">
      <alignment vertical="center"/>
    </xf>
    <xf numFmtId="3" fontId="53" fillId="0" borderId="0" xfId="0" applyNumberFormat="1" applyFont="1">
      <alignment vertical="center"/>
    </xf>
    <xf numFmtId="0" fontId="67" fillId="0" borderId="0" xfId="3" applyFont="1">
      <alignment vertical="center"/>
    </xf>
    <xf numFmtId="176" fontId="3" fillId="0" borderId="0" xfId="3" applyNumberFormat="1">
      <alignment vertical="center"/>
    </xf>
    <xf numFmtId="228" fontId="197" fillId="0" borderId="0" xfId="5" applyNumberFormat="1" applyFont="1" applyAlignment="1">
      <alignment horizontal="center" vertical="center"/>
    </xf>
    <xf numFmtId="14" fontId="30" fillId="0" borderId="39" xfId="0" applyNumberFormat="1" applyFont="1" applyBorder="1">
      <alignment vertical="center"/>
    </xf>
    <xf numFmtId="0" fontId="214" fillId="0" borderId="0" xfId="3" quotePrefix="1" applyFont="1" applyAlignment="1">
      <alignment horizontal="left" vertical="center"/>
    </xf>
    <xf numFmtId="0" fontId="53" fillId="0" borderId="0" xfId="5" quotePrefix="1" applyFont="1" applyAlignment="1">
      <alignment horizontal="center" vertical="center"/>
    </xf>
    <xf numFmtId="225" fontId="53" fillId="0" borderId="0" xfId="3" applyNumberFormat="1" applyFont="1" applyAlignment="1">
      <alignment horizontal="center" vertical="center"/>
    </xf>
    <xf numFmtId="226" fontId="53" fillId="0" borderId="0" xfId="5" applyNumberFormat="1" applyFont="1" applyAlignment="1">
      <alignment horizontal="center" vertical="center"/>
    </xf>
    <xf numFmtId="230" fontId="21" fillId="0" borderId="27" xfId="4" applyNumberFormat="1" applyFont="1" applyBorder="1" applyAlignment="1">
      <alignment vertical="center"/>
    </xf>
    <xf numFmtId="3" fontId="3" fillId="0" borderId="0" xfId="5" applyNumberFormat="1" applyAlignment="1">
      <alignment horizontal="center" vertical="center"/>
    </xf>
    <xf numFmtId="212" fontId="217" fillId="0" borderId="5" xfId="4" applyNumberFormat="1" applyFont="1" applyBorder="1" applyAlignment="1">
      <alignment vertical="center"/>
    </xf>
    <xf numFmtId="0" fontId="50" fillId="0" borderId="0" xfId="0" applyFont="1" applyAlignment="1">
      <alignment horizontal="center" vertical="center" wrapText="1"/>
    </xf>
    <xf numFmtId="0" fontId="65" fillId="0" borderId="0" xfId="0" applyFont="1" applyAlignment="1">
      <alignment vertical="top" wrapText="1"/>
    </xf>
    <xf numFmtId="0" fontId="225" fillId="0" borderId="0" xfId="0" applyFont="1">
      <alignment vertical="center"/>
    </xf>
    <xf numFmtId="0" fontId="226" fillId="0" borderId="0" xfId="0" applyFont="1">
      <alignment vertical="center"/>
    </xf>
    <xf numFmtId="0" fontId="226" fillId="0" borderId="0" xfId="0" applyFont="1" applyAlignment="1">
      <alignment horizontal="center" vertical="center"/>
    </xf>
    <xf numFmtId="0" fontId="226" fillId="12" borderId="103" xfId="0" applyFont="1" applyFill="1" applyBorder="1">
      <alignment vertical="center"/>
    </xf>
    <xf numFmtId="0" fontId="226" fillId="12" borderId="104" xfId="0" applyFont="1" applyFill="1" applyBorder="1">
      <alignment vertical="center"/>
    </xf>
    <xf numFmtId="0" fontId="225" fillId="0" borderId="105" xfId="0" applyFont="1" applyBorder="1">
      <alignment vertical="center"/>
    </xf>
    <xf numFmtId="0" fontId="226" fillId="0" borderId="105" xfId="0" applyFont="1" applyBorder="1">
      <alignment vertical="center"/>
    </xf>
    <xf numFmtId="0" fontId="226" fillId="0" borderId="104" xfId="0" applyFont="1" applyBorder="1">
      <alignment vertical="center"/>
    </xf>
    <xf numFmtId="0" fontId="226" fillId="0" borderId="106" xfId="0" applyFont="1" applyBorder="1">
      <alignment vertical="center"/>
    </xf>
    <xf numFmtId="0" fontId="226" fillId="0" borderId="107" xfId="0" applyFont="1" applyBorder="1">
      <alignment vertical="center"/>
    </xf>
    <xf numFmtId="0" fontId="226" fillId="0" borderId="35" xfId="0" applyFont="1" applyBorder="1" applyAlignment="1">
      <alignment horizontal="center" vertical="center"/>
    </xf>
    <xf numFmtId="0" fontId="226" fillId="0" borderId="8" xfId="0" applyFont="1" applyBorder="1">
      <alignment vertical="center"/>
    </xf>
    <xf numFmtId="0" fontId="226" fillId="0" borderId="108" xfId="0" applyFont="1" applyBorder="1">
      <alignment vertical="center"/>
    </xf>
    <xf numFmtId="0" fontId="226" fillId="0" borderId="109" xfId="0" applyFont="1" applyBorder="1">
      <alignment vertical="center"/>
    </xf>
    <xf numFmtId="0" fontId="226" fillId="0" borderId="91" xfId="0" applyFont="1" applyBorder="1">
      <alignment vertical="center"/>
    </xf>
    <xf numFmtId="0" fontId="226" fillId="0" borderId="110" xfId="0" applyFont="1" applyBorder="1">
      <alignment vertical="center"/>
    </xf>
    <xf numFmtId="0" fontId="226" fillId="0" borderId="111" xfId="0" applyFont="1" applyBorder="1">
      <alignment vertical="center"/>
    </xf>
    <xf numFmtId="0" fontId="226" fillId="0" borderId="8" xfId="0" applyFont="1" applyBorder="1" applyAlignment="1">
      <alignment horizontal="center" vertical="center"/>
    </xf>
    <xf numFmtId="0" fontId="225" fillId="0" borderId="113" xfId="0" applyFont="1" applyBorder="1">
      <alignment vertical="center"/>
    </xf>
    <xf numFmtId="0" fontId="226" fillId="0" borderId="113" xfId="0" applyFont="1" applyBorder="1">
      <alignment vertical="center"/>
    </xf>
    <xf numFmtId="0" fontId="226" fillId="0" borderId="113" xfId="0" applyFont="1" applyBorder="1" applyAlignment="1">
      <alignment horizontal="center" vertical="center"/>
    </xf>
    <xf numFmtId="0" fontId="225" fillId="0" borderId="0" xfId="0" applyFont="1" applyAlignment="1">
      <alignment horizontal="center" vertical="center"/>
    </xf>
    <xf numFmtId="213" fontId="226" fillId="0" borderId="0" xfId="0" applyNumberFormat="1" applyFont="1" applyAlignment="1">
      <alignment horizontal="center" vertical="center"/>
    </xf>
    <xf numFmtId="0" fontId="231" fillId="0" borderId="0" xfId="3" applyFont="1" applyAlignment="1">
      <alignment horizontal="left" vertical="center"/>
    </xf>
    <xf numFmtId="0" fontId="91" fillId="0" borderId="0" xfId="3" applyFont="1" applyAlignment="1">
      <alignment horizontal="center" vertical="center"/>
    </xf>
    <xf numFmtId="0" fontId="13" fillId="0" borderId="35" xfId="5" applyFont="1" applyBorder="1" applyAlignment="1">
      <alignment horizontal="center" vertical="center"/>
    </xf>
    <xf numFmtId="0" fontId="13" fillId="0" borderId="35" xfId="5" applyFont="1" applyBorder="1" applyAlignment="1">
      <alignment horizontal="left" vertical="center"/>
    </xf>
    <xf numFmtId="197" fontId="226" fillId="0" borderId="0" xfId="0" applyNumberFormat="1" applyFont="1" applyAlignment="1">
      <alignment horizontal="center" vertical="center"/>
    </xf>
    <xf numFmtId="230" fontId="226" fillId="0" borderId="0" xfId="0" applyNumberFormat="1" applyFont="1" applyAlignment="1">
      <alignment horizontal="center" vertical="center"/>
    </xf>
    <xf numFmtId="9" fontId="39" fillId="0" borderId="0" xfId="3" applyNumberFormat="1" applyFont="1">
      <alignment vertical="center"/>
    </xf>
    <xf numFmtId="176" fontId="39" fillId="0" borderId="0" xfId="3" applyNumberFormat="1" applyFont="1">
      <alignment vertical="center"/>
    </xf>
    <xf numFmtId="2" fontId="39" fillId="0" borderId="0" xfId="3" applyNumberFormat="1" applyFont="1">
      <alignment vertical="center"/>
    </xf>
    <xf numFmtId="0" fontId="232" fillId="0" borderId="0" xfId="0" applyFont="1">
      <alignment vertical="center"/>
    </xf>
    <xf numFmtId="0" fontId="233" fillId="0" borderId="0" xfId="0" applyFont="1" applyAlignment="1">
      <alignment horizontal="right" vertical="center"/>
    </xf>
    <xf numFmtId="0" fontId="234" fillId="0" borderId="0" xfId="0" applyFont="1">
      <alignment vertical="center"/>
    </xf>
    <xf numFmtId="0" fontId="234" fillId="0" borderId="0" xfId="0" applyFont="1" applyAlignment="1">
      <alignment horizontal="center" vertical="center"/>
    </xf>
    <xf numFmtId="194" fontId="226" fillId="0" borderId="0" xfId="0" applyNumberFormat="1" applyFont="1" applyAlignment="1">
      <alignment horizontal="center" vertical="center"/>
    </xf>
    <xf numFmtId="0" fontId="226" fillId="0" borderId="0" xfId="0" applyFont="1" applyAlignment="1">
      <alignment horizontal="left" vertical="center"/>
    </xf>
    <xf numFmtId="0" fontId="226" fillId="0" borderId="0" xfId="0" applyFont="1" applyAlignment="1">
      <alignment horizontal="right" vertical="center"/>
    </xf>
    <xf numFmtId="0" fontId="239" fillId="6" borderId="114" xfId="0" applyFont="1" applyFill="1" applyBorder="1">
      <alignment vertical="center"/>
    </xf>
    <xf numFmtId="0" fontId="239" fillId="0" borderId="0" xfId="0" applyFont="1">
      <alignment vertical="center"/>
    </xf>
    <xf numFmtId="0" fontId="240" fillId="0" borderId="0" xfId="0" applyFont="1">
      <alignment vertical="center"/>
    </xf>
    <xf numFmtId="0" fontId="241" fillId="0" borderId="0" xfId="0" applyFont="1">
      <alignment vertical="center"/>
    </xf>
    <xf numFmtId="0" fontId="246" fillId="0" borderId="0" xfId="0" applyFont="1">
      <alignment vertical="center"/>
    </xf>
    <xf numFmtId="221" fontId="226" fillId="0" borderId="0" xfId="0" applyNumberFormat="1" applyFont="1">
      <alignment vertical="center"/>
    </xf>
    <xf numFmtId="0" fontId="247" fillId="0" borderId="0" xfId="0" applyFont="1">
      <alignment vertical="center"/>
    </xf>
    <xf numFmtId="178" fontId="226" fillId="0" borderId="0" xfId="0" applyNumberFormat="1" applyFont="1" applyAlignment="1">
      <alignment horizontal="center" vertical="center"/>
    </xf>
    <xf numFmtId="181" fontId="226" fillId="0" borderId="0" xfId="0" applyNumberFormat="1" applyFont="1" applyAlignment="1">
      <alignment horizontal="center" vertical="center"/>
    </xf>
    <xf numFmtId="234" fontId="226" fillId="0" borderId="0" xfId="0" applyNumberFormat="1" applyFont="1" applyAlignment="1">
      <alignment horizontal="center" vertical="center"/>
    </xf>
    <xf numFmtId="220" fontId="226" fillId="0" borderId="0" xfId="0" applyNumberFormat="1" applyFont="1" applyAlignment="1">
      <alignment horizontal="center" vertical="center"/>
    </xf>
    <xf numFmtId="197" fontId="226" fillId="0" borderId="35" xfId="0" applyNumberFormat="1" applyFont="1" applyBorder="1" applyAlignment="1">
      <alignment horizontal="center" vertical="center"/>
    </xf>
    <xf numFmtId="235" fontId="246" fillId="0" borderId="0" xfId="0" applyNumberFormat="1" applyFont="1">
      <alignment vertical="center"/>
    </xf>
    <xf numFmtId="181" fontId="226" fillId="0" borderId="0" xfId="0" applyNumberFormat="1" applyFont="1">
      <alignment vertical="center"/>
    </xf>
    <xf numFmtId="0" fontId="58" fillId="0" borderId="0" xfId="0" applyFont="1">
      <alignment vertical="center"/>
    </xf>
    <xf numFmtId="0" fontId="250" fillId="6" borderId="114" xfId="0" applyFont="1" applyFill="1" applyBorder="1">
      <alignment vertical="center"/>
    </xf>
    <xf numFmtId="194" fontId="226" fillId="0" borderId="0" xfId="0" applyNumberFormat="1" applyFont="1">
      <alignment vertical="center"/>
    </xf>
    <xf numFmtId="2" fontId="26" fillId="0" borderId="0" xfId="3" applyNumberFormat="1" applyFont="1">
      <alignment vertical="center"/>
    </xf>
    <xf numFmtId="0" fontId="53" fillId="0" borderId="0" xfId="5" applyFont="1" applyAlignment="1">
      <alignment vertical="center"/>
    </xf>
    <xf numFmtId="206" fontId="53" fillId="0" borderId="0" xfId="1" applyNumberFormat="1" applyFont="1" applyFill="1" applyBorder="1" applyAlignment="1">
      <alignment vertical="center"/>
    </xf>
    <xf numFmtId="229" fontId="8" fillId="0" borderId="0" xfId="2" applyNumberFormat="1" applyFont="1" applyFill="1" applyBorder="1" applyAlignment="1">
      <alignment vertical="center"/>
    </xf>
    <xf numFmtId="197" fontId="3" fillId="0" borderId="0" xfId="0" applyNumberFormat="1" applyFont="1">
      <alignment vertical="center"/>
    </xf>
    <xf numFmtId="198" fontId="3" fillId="0" borderId="0" xfId="0" applyNumberFormat="1" applyFont="1">
      <alignment vertical="center"/>
    </xf>
    <xf numFmtId="213" fontId="226" fillId="0" borderId="0" xfId="0" applyNumberFormat="1" applyFont="1">
      <alignment vertical="center"/>
    </xf>
    <xf numFmtId="236" fontId="226" fillId="0" borderId="0" xfId="0" applyNumberFormat="1" applyFont="1">
      <alignment vertical="center"/>
    </xf>
    <xf numFmtId="178" fontId="226" fillId="0" borderId="0" xfId="0" applyNumberFormat="1" applyFont="1">
      <alignment vertical="center"/>
    </xf>
    <xf numFmtId="0" fontId="234" fillId="0" borderId="0" xfId="0" applyFont="1" applyAlignment="1">
      <alignment horizontal="left" vertical="center"/>
    </xf>
    <xf numFmtId="0" fontId="234" fillId="0" borderId="0" xfId="0" applyFont="1" applyAlignment="1">
      <alignment horizontal="right" vertical="center"/>
    </xf>
    <xf numFmtId="178" fontId="234" fillId="0" borderId="0" xfId="0" applyNumberFormat="1" applyFont="1" applyAlignment="1">
      <alignment horizontal="center" vertical="center"/>
    </xf>
    <xf numFmtId="0" fontId="226" fillId="0" borderId="105" xfId="0" applyFont="1" applyBorder="1" applyAlignment="1">
      <alignment vertical="center" wrapText="1"/>
    </xf>
    <xf numFmtId="177" fontId="110" fillId="0" borderId="6" xfId="4" applyNumberFormat="1" applyFont="1" applyBorder="1" applyAlignment="1">
      <alignment vertical="center"/>
    </xf>
    <xf numFmtId="0" fontId="17" fillId="4" borderId="10" xfId="4" applyFont="1" applyFill="1" applyBorder="1" applyAlignment="1">
      <alignment vertical="center" wrapText="1"/>
    </xf>
    <xf numFmtId="0" fontId="17" fillId="4" borderId="52" xfId="4" applyFont="1" applyFill="1" applyBorder="1" applyAlignment="1">
      <alignment vertical="center" wrapText="1"/>
    </xf>
    <xf numFmtId="177" fontId="110" fillId="0" borderId="52" xfId="4" applyNumberFormat="1" applyFont="1" applyBorder="1" applyAlignment="1">
      <alignment vertical="center"/>
    </xf>
    <xf numFmtId="0" fontId="17" fillId="0" borderId="0" xfId="4" applyFont="1" applyAlignment="1">
      <alignment horizontal="center" vertical="center"/>
    </xf>
    <xf numFmtId="176" fontId="110" fillId="0" borderId="0" xfId="4" applyNumberFormat="1" applyFont="1" applyAlignment="1">
      <alignment vertical="center"/>
    </xf>
    <xf numFmtId="0" fontId="176" fillId="0" borderId="0" xfId="4" applyFont="1" applyAlignment="1">
      <alignment horizontal="center" vertical="center"/>
    </xf>
    <xf numFmtId="176" fontId="175" fillId="0" borderId="0" xfId="4" applyNumberFormat="1" applyFont="1" applyAlignment="1">
      <alignment vertical="center"/>
    </xf>
    <xf numFmtId="3" fontId="199" fillId="0" borderId="0" xfId="1" applyNumberFormat="1" applyFont="1" applyFill="1" applyBorder="1" applyAlignment="1">
      <alignment vertical="center"/>
    </xf>
    <xf numFmtId="41" fontId="199" fillId="0" borderId="0" xfId="1" applyFont="1" applyFill="1" applyBorder="1" applyAlignment="1">
      <alignment vertical="center"/>
    </xf>
    <xf numFmtId="179" fontId="200" fillId="0" borderId="0" xfId="4" applyNumberFormat="1" applyFont="1" applyAlignment="1">
      <alignment horizontal="center" vertical="center"/>
    </xf>
    <xf numFmtId="2" fontId="25" fillId="0" borderId="0" xfId="0" applyNumberFormat="1" applyFont="1">
      <alignment vertical="center"/>
    </xf>
    <xf numFmtId="176" fontId="110" fillId="0" borderId="0" xfId="4" applyNumberFormat="1" applyFont="1" applyAlignment="1">
      <alignment horizontal="left" vertical="center"/>
    </xf>
    <xf numFmtId="0" fontId="110" fillId="0" borderId="0" xfId="4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174" fillId="0" borderId="0" xfId="0" applyFont="1" applyAlignment="1">
      <alignment vertical="center" wrapText="1"/>
    </xf>
    <xf numFmtId="0" fontId="17" fillId="0" borderId="0" xfId="4" applyFont="1" applyAlignment="1">
      <alignment vertical="center" wrapText="1"/>
    </xf>
    <xf numFmtId="0" fontId="205" fillId="0" borderId="0" xfId="4" applyFont="1" applyAlignment="1">
      <alignment vertical="center" wrapText="1"/>
    </xf>
    <xf numFmtId="0" fontId="26" fillId="0" borderId="43" xfId="0" applyFont="1" applyBorder="1">
      <alignment vertical="center"/>
    </xf>
    <xf numFmtId="0" fontId="253" fillId="0" borderId="94" xfId="0" applyFont="1" applyBorder="1">
      <alignment vertical="center"/>
    </xf>
    <xf numFmtId="206" fontId="250" fillId="6" borderId="114" xfId="0" applyNumberFormat="1" applyFont="1" applyFill="1" applyBorder="1">
      <alignment vertical="center"/>
    </xf>
    <xf numFmtId="206" fontId="226" fillId="0" borderId="105" xfId="0" applyNumberFormat="1" applyFont="1" applyBorder="1">
      <alignment vertical="center"/>
    </xf>
    <xf numFmtId="0" fontId="239" fillId="3" borderId="114" xfId="0" applyFont="1" applyFill="1" applyBorder="1">
      <alignment vertical="center"/>
    </xf>
    <xf numFmtId="0" fontId="10" fillId="3" borderId="114" xfId="3" applyFont="1" applyFill="1" applyBorder="1" applyAlignment="1">
      <alignment horizontal="left" vertical="center"/>
    </xf>
    <xf numFmtId="0" fontId="39" fillId="3" borderId="114" xfId="3" applyFont="1" applyFill="1" applyBorder="1" applyAlignment="1">
      <alignment horizontal="left" vertical="center"/>
    </xf>
    <xf numFmtId="176" fontId="39" fillId="3" borderId="114" xfId="3" applyNumberFormat="1" applyFont="1" applyFill="1" applyBorder="1">
      <alignment vertical="center"/>
    </xf>
    <xf numFmtId="0" fontId="39" fillId="3" borderId="114" xfId="3" applyFont="1" applyFill="1" applyBorder="1" applyAlignment="1">
      <alignment horizontal="center" vertical="center"/>
    </xf>
    <xf numFmtId="0" fontId="39" fillId="3" borderId="114" xfId="3" applyFont="1" applyFill="1" applyBorder="1">
      <alignment vertical="center"/>
    </xf>
    <xf numFmtId="2" fontId="79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86" fontId="226" fillId="0" borderId="0" xfId="0" applyNumberFormat="1" applyFont="1">
      <alignment vertical="center"/>
    </xf>
    <xf numFmtId="0" fontId="67" fillId="0" borderId="0" xfId="5" applyFont="1" applyAlignment="1">
      <alignment vertical="center"/>
    </xf>
    <xf numFmtId="0" fontId="226" fillId="0" borderId="91" xfId="0" applyFont="1" applyBorder="1" applyAlignment="1">
      <alignment horizontal="center" vertical="center"/>
    </xf>
    <xf numFmtId="0" fontId="226" fillId="0" borderId="0" xfId="0" applyFont="1" applyAlignment="1">
      <alignment vertical="center" wrapText="1"/>
    </xf>
    <xf numFmtId="239" fontId="124" fillId="0" borderId="0" xfId="3" applyNumberFormat="1" applyFont="1" applyAlignment="1">
      <alignment horizontal="left"/>
    </xf>
    <xf numFmtId="0" fontId="159" fillId="0" borderId="0" xfId="3" applyFont="1" applyAlignment="1">
      <alignment vertical="center" wrapText="1"/>
    </xf>
    <xf numFmtId="0" fontId="8" fillId="0" borderId="8" xfId="3" applyFont="1" applyBorder="1">
      <alignment vertical="center"/>
    </xf>
    <xf numFmtId="0" fontId="23" fillId="0" borderId="105" xfId="3" applyFont="1" applyBorder="1" applyAlignment="1">
      <alignment horizontal="center" vertical="center"/>
    </xf>
    <xf numFmtId="0" fontId="8" fillId="0" borderId="105" xfId="3" applyFont="1" applyBorder="1">
      <alignment vertical="center"/>
    </xf>
    <xf numFmtId="0" fontId="225" fillId="0" borderId="114" xfId="0" applyFont="1" applyBorder="1">
      <alignment vertical="center"/>
    </xf>
    <xf numFmtId="0" fontId="226" fillId="0" borderId="114" xfId="0" applyFont="1" applyBorder="1">
      <alignment vertical="center"/>
    </xf>
    <xf numFmtId="197" fontId="44" fillId="0" borderId="0" xfId="0" applyNumberFormat="1" applyFont="1">
      <alignment vertical="center"/>
    </xf>
    <xf numFmtId="178" fontId="118" fillId="0" borderId="0" xfId="0" applyNumberFormat="1" applyFont="1">
      <alignment vertical="center"/>
    </xf>
    <xf numFmtId="180" fontId="59" fillId="0" borderId="0" xfId="3" applyNumberFormat="1" applyFont="1">
      <alignment vertical="center"/>
    </xf>
    <xf numFmtId="203" fontId="59" fillId="0" borderId="0" xfId="3" applyNumberFormat="1" applyFont="1">
      <alignment vertical="center"/>
    </xf>
    <xf numFmtId="194" fontId="258" fillId="0" borderId="0" xfId="3" applyNumberFormat="1" applyFont="1">
      <alignment vertical="center"/>
    </xf>
    <xf numFmtId="181" fontId="59" fillId="0" borderId="0" xfId="3" applyNumberFormat="1" applyFont="1">
      <alignment vertical="center"/>
    </xf>
    <xf numFmtId="180" fontId="26" fillId="0" borderId="0" xfId="3" applyNumberFormat="1" applyFont="1">
      <alignment vertical="center"/>
    </xf>
    <xf numFmtId="203" fontId="26" fillId="0" borderId="0" xfId="3" applyNumberFormat="1" applyFont="1">
      <alignment vertical="center"/>
    </xf>
    <xf numFmtId="194" fontId="253" fillId="0" borderId="0" xfId="3" applyNumberFormat="1" applyFont="1">
      <alignment vertical="center"/>
    </xf>
    <xf numFmtId="201" fontId="26" fillId="0" borderId="0" xfId="3" applyNumberFormat="1" applyFont="1">
      <alignment vertical="center"/>
    </xf>
    <xf numFmtId="181" fontId="26" fillId="0" borderId="0" xfId="3" applyNumberFormat="1" applyFont="1">
      <alignment vertical="center"/>
    </xf>
    <xf numFmtId="181" fontId="253" fillId="0" borderId="0" xfId="3" applyNumberFormat="1" applyFont="1">
      <alignment vertical="center"/>
    </xf>
    <xf numFmtId="181" fontId="258" fillId="0" borderId="0" xfId="3" applyNumberFormat="1" applyFont="1">
      <alignment vertical="center"/>
    </xf>
    <xf numFmtId="230" fontId="21" fillId="13" borderId="5" xfId="4" applyNumberFormat="1" applyFont="1" applyFill="1" applyBorder="1" applyAlignment="1">
      <alignment vertical="center"/>
    </xf>
    <xf numFmtId="0" fontId="26" fillId="0" borderId="37" xfId="0" applyFont="1" applyBorder="1">
      <alignment vertical="center"/>
    </xf>
    <xf numFmtId="0" fontId="26" fillId="0" borderId="75" xfId="0" applyFont="1" applyBorder="1">
      <alignment vertical="center"/>
    </xf>
    <xf numFmtId="0" fontId="26" fillId="0" borderId="0" xfId="0" applyFont="1">
      <alignment vertical="center"/>
    </xf>
    <xf numFmtId="0" fontId="48" fillId="0" borderId="0" xfId="0" applyFont="1">
      <alignment vertical="center"/>
    </xf>
    <xf numFmtId="0" fontId="26" fillId="0" borderId="0" xfId="5" applyFont="1" applyAlignment="1">
      <alignment horizontal="left" vertical="center"/>
    </xf>
    <xf numFmtId="41" fontId="162" fillId="5" borderId="52" xfId="1" applyFont="1" applyFill="1" applyBorder="1" applyAlignment="1">
      <alignment vertical="center"/>
    </xf>
    <xf numFmtId="0" fontId="204" fillId="0" borderId="0" xfId="0" applyFont="1" applyAlignment="1">
      <alignment horizontal="center" vertical="center"/>
    </xf>
    <xf numFmtId="0" fontId="54" fillId="0" borderId="0" xfId="3" quotePrefix="1" applyFont="1" applyAlignment="1">
      <alignment horizontal="center" vertical="center"/>
    </xf>
    <xf numFmtId="0" fontId="259" fillId="0" borderId="0" xfId="3" applyFont="1" applyAlignment="1">
      <alignment horizontal="center" vertical="center"/>
    </xf>
    <xf numFmtId="0" fontId="259" fillId="0" borderId="0" xfId="3" quotePrefix="1" applyFont="1" applyAlignment="1">
      <alignment horizontal="center" vertical="center"/>
    </xf>
    <xf numFmtId="0" fontId="259" fillId="0" borderId="0" xfId="3" applyFont="1">
      <alignment vertical="center"/>
    </xf>
    <xf numFmtId="0" fontId="3" fillId="0" borderId="0" xfId="3" applyAlignment="1">
      <alignment horizontal="distributed" vertical="center" indent="1"/>
    </xf>
    <xf numFmtId="0" fontId="259" fillId="0" borderId="0" xfId="3" quotePrefix="1" applyFont="1">
      <alignment vertical="center"/>
    </xf>
    <xf numFmtId="0" fontId="260" fillId="0" borderId="0" xfId="3" applyFont="1">
      <alignment vertical="center"/>
    </xf>
    <xf numFmtId="14" fontId="261" fillId="0" borderId="0" xfId="3" applyNumberFormat="1" applyFont="1" applyAlignment="1">
      <alignment vertical="center" wrapText="1"/>
    </xf>
    <xf numFmtId="0" fontId="262" fillId="0" borderId="0" xfId="3" quotePrefix="1" applyFont="1" applyAlignment="1">
      <alignment horizontal="center" vertical="center"/>
    </xf>
    <xf numFmtId="0" fontId="94" fillId="0" borderId="0" xfId="3" applyFont="1" applyAlignment="1">
      <alignment horizontal="center" vertical="center"/>
    </xf>
    <xf numFmtId="0" fontId="26" fillId="0" borderId="13" xfId="3" applyFont="1" applyBorder="1">
      <alignment vertical="center"/>
    </xf>
    <xf numFmtId="0" fontId="26" fillId="0" borderId="13" xfId="3" applyFont="1" applyBorder="1" applyAlignment="1">
      <alignment horizontal="left" vertical="center"/>
    </xf>
    <xf numFmtId="14" fontId="158" fillId="0" borderId="0" xfId="3" applyNumberFormat="1" applyFont="1" applyAlignment="1">
      <alignment vertical="center" wrapText="1"/>
    </xf>
    <xf numFmtId="204" fontId="69" fillId="0" borderId="0" xfId="3" applyNumberFormat="1" applyFont="1">
      <alignment vertical="center"/>
    </xf>
    <xf numFmtId="0" fontId="69" fillId="0" borderId="0" xfId="3" quotePrefix="1" applyFont="1">
      <alignment vertical="center"/>
    </xf>
    <xf numFmtId="0" fontId="263" fillId="0" borderId="0" xfId="3" applyFont="1">
      <alignment vertical="center"/>
    </xf>
    <xf numFmtId="0" fontId="264" fillId="0" borderId="0" xfId="3" applyFont="1">
      <alignment vertical="center"/>
    </xf>
    <xf numFmtId="0" fontId="264" fillId="0" borderId="0" xfId="0" applyFont="1">
      <alignment vertical="center"/>
    </xf>
    <xf numFmtId="192" fontId="264" fillId="0" borderId="0" xfId="0" applyNumberFormat="1" applyFont="1">
      <alignment vertical="center"/>
    </xf>
    <xf numFmtId="0" fontId="20" fillId="0" borderId="13" xfId="0" applyFont="1" applyBorder="1" applyAlignment="1">
      <alignment horizontal="center" vertical="center"/>
    </xf>
    <xf numFmtId="179" fontId="200" fillId="0" borderId="75" xfId="4" applyNumberFormat="1" applyFont="1" applyBorder="1" applyAlignment="1">
      <alignment horizontal="center" vertical="center"/>
    </xf>
    <xf numFmtId="176" fontId="110" fillId="0" borderId="43" xfId="4" applyNumberFormat="1" applyFont="1" applyBorder="1" applyAlignment="1">
      <alignment vertical="center"/>
    </xf>
    <xf numFmtId="176" fontId="175" fillId="5" borderId="17" xfId="4" applyNumberFormat="1" applyFont="1" applyFill="1" applyBorder="1" applyAlignment="1">
      <alignment vertical="center"/>
    </xf>
    <xf numFmtId="177" fontId="110" fillId="0" borderId="18" xfId="4" applyNumberFormat="1" applyFont="1" applyBorder="1" applyAlignment="1">
      <alignment vertical="center"/>
    </xf>
    <xf numFmtId="41" fontId="199" fillId="5" borderId="47" xfId="1" applyFont="1" applyFill="1" applyBorder="1" applyAlignment="1">
      <alignment vertical="center"/>
    </xf>
    <xf numFmtId="179" fontId="200" fillId="0" borderId="94" xfId="4" applyNumberFormat="1" applyFont="1" applyBorder="1" applyAlignment="1">
      <alignment horizontal="center" vertical="center"/>
    </xf>
    <xf numFmtId="0" fontId="21" fillId="0" borderId="31" xfId="0" applyFont="1" applyBorder="1">
      <alignment vertical="center"/>
    </xf>
    <xf numFmtId="0" fontId="253" fillId="0" borderId="13" xfId="3" applyFont="1" applyBorder="1">
      <alignment vertical="center"/>
    </xf>
    <xf numFmtId="2" fontId="26" fillId="0" borderId="13" xfId="3" applyNumberFormat="1" applyFont="1" applyBorder="1">
      <alignment vertical="center"/>
    </xf>
    <xf numFmtId="0" fontId="83" fillId="0" borderId="0" xfId="0" applyFont="1">
      <alignment vertical="center"/>
    </xf>
    <xf numFmtId="0" fontId="265" fillId="9" borderId="0" xfId="0" applyFont="1" applyFill="1">
      <alignment vertical="center"/>
    </xf>
    <xf numFmtId="0" fontId="253" fillId="14" borderId="13" xfId="3" applyFont="1" applyFill="1" applyBorder="1">
      <alignment vertical="center"/>
    </xf>
    <xf numFmtId="0" fontId="49" fillId="0" borderId="0" xfId="3" applyFont="1">
      <alignment vertical="center"/>
    </xf>
    <xf numFmtId="0" fontId="266" fillId="0" borderId="0" xfId="0" applyFont="1">
      <alignment vertical="center"/>
    </xf>
    <xf numFmtId="216" fontId="177" fillId="8" borderId="39" xfId="0" applyNumberFormat="1" applyFont="1" applyFill="1" applyBorder="1">
      <alignment vertical="center"/>
    </xf>
    <xf numFmtId="0" fontId="204" fillId="8" borderId="17" xfId="0" applyFont="1" applyFill="1" applyBorder="1" applyAlignment="1">
      <alignment vertical="center" wrapText="1"/>
    </xf>
    <xf numFmtId="0" fontId="13" fillId="8" borderId="17" xfId="3" applyFont="1" applyFill="1" applyBorder="1">
      <alignment vertical="center"/>
    </xf>
    <xf numFmtId="214" fontId="40" fillId="9" borderId="5" xfId="0" applyNumberFormat="1" applyFont="1" applyFill="1" applyBorder="1" applyAlignment="1">
      <alignment vertical="center" wrapText="1"/>
    </xf>
    <xf numFmtId="223" fontId="193" fillId="9" borderId="5" xfId="0" applyNumberFormat="1" applyFont="1" applyFill="1" applyBorder="1" applyAlignment="1">
      <alignment vertical="center" wrapText="1"/>
    </xf>
    <xf numFmtId="223" fontId="177" fillId="9" borderId="5" xfId="0" applyNumberFormat="1" applyFont="1" applyFill="1" applyBorder="1">
      <alignment vertical="center"/>
    </xf>
    <xf numFmtId="223" fontId="177" fillId="9" borderId="5" xfId="0" quotePrefix="1" applyNumberFormat="1" applyFont="1" applyFill="1" applyBorder="1" applyAlignment="1">
      <alignment horizontal="right" vertical="center"/>
    </xf>
    <xf numFmtId="176" fontId="162" fillId="0" borderId="0" xfId="3" applyNumberFormat="1" applyFont="1">
      <alignment vertical="center"/>
    </xf>
    <xf numFmtId="2" fontId="162" fillId="0" borderId="0" xfId="3" applyNumberFormat="1" applyFont="1">
      <alignment vertical="center"/>
    </xf>
    <xf numFmtId="0" fontId="267" fillId="0" borderId="0" xfId="3" applyFont="1" applyAlignment="1">
      <alignment horizontal="center" vertical="center"/>
    </xf>
    <xf numFmtId="0" fontId="267" fillId="0" borderId="0" xfId="3" applyFont="1">
      <alignment vertical="center"/>
    </xf>
    <xf numFmtId="0" fontId="3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justify" vertical="center"/>
    </xf>
    <xf numFmtId="0" fontId="0" fillId="9" borderId="0" xfId="0" applyFill="1" applyAlignment="1">
      <alignment horizontal="justify" vertical="center"/>
    </xf>
    <xf numFmtId="0" fontId="0" fillId="9" borderId="35" xfId="0" applyFill="1" applyBorder="1" applyAlignment="1">
      <alignment horizontal="justify" vertical="center"/>
    </xf>
    <xf numFmtId="217" fontId="177" fillId="0" borderId="0" xfId="0" applyNumberFormat="1" applyFont="1" applyAlignment="1">
      <alignment horizontal="center" vertical="center"/>
    </xf>
    <xf numFmtId="0" fontId="23" fillId="10" borderId="55" xfId="3" applyFont="1" applyFill="1" applyBorder="1" applyAlignment="1">
      <alignment horizontal="center" vertical="center"/>
    </xf>
    <xf numFmtId="0" fontId="8" fillId="0" borderId="49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151" fillId="10" borderId="49" xfId="0" applyFont="1" applyFill="1" applyBorder="1" applyAlignment="1">
      <alignment horizontal="center" vertical="center"/>
    </xf>
    <xf numFmtId="0" fontId="151" fillId="10" borderId="17" xfId="0" applyFont="1" applyFill="1" applyBorder="1" applyAlignment="1">
      <alignment horizontal="center" vertical="center"/>
    </xf>
    <xf numFmtId="0" fontId="56" fillId="0" borderId="17" xfId="0" applyFont="1" applyBorder="1" applyAlignment="1">
      <alignment horizontal="left" vertical="center" wrapText="1" indent="1"/>
    </xf>
    <xf numFmtId="0" fontId="56" fillId="0" borderId="18" xfId="0" applyFont="1" applyBorder="1" applyAlignment="1">
      <alignment horizontal="left" vertical="center" wrapText="1" indent="1"/>
    </xf>
    <xf numFmtId="0" fontId="23" fillId="10" borderId="1" xfId="3" applyFont="1" applyFill="1" applyBorder="1" applyAlignment="1">
      <alignment horizontal="center" vertical="center"/>
    </xf>
    <xf numFmtId="0" fontId="23" fillId="10" borderId="2" xfId="3" applyFont="1" applyFill="1" applyBorder="1" applyAlignment="1">
      <alignment horizontal="center" vertical="center"/>
    </xf>
    <xf numFmtId="0" fontId="23" fillId="10" borderId="3" xfId="3" applyFont="1" applyFill="1" applyBorder="1" applyAlignment="1">
      <alignment horizontal="center" vertical="center"/>
    </xf>
    <xf numFmtId="0" fontId="49" fillId="0" borderId="17" xfId="3" applyFont="1" applyBorder="1" applyAlignment="1">
      <alignment horizontal="right"/>
    </xf>
    <xf numFmtId="0" fontId="49" fillId="0" borderId="18" xfId="3" applyFont="1" applyBorder="1" applyAlignment="1">
      <alignment horizontal="right"/>
    </xf>
    <xf numFmtId="0" fontId="9" fillId="0" borderId="0" xfId="3" applyFont="1" applyAlignment="1">
      <alignment horizontal="center" vertical="center"/>
    </xf>
    <xf numFmtId="0" fontId="9" fillId="0" borderId="0" xfId="3" applyFont="1">
      <alignment vertical="center"/>
    </xf>
    <xf numFmtId="215" fontId="23" fillId="0" borderId="0" xfId="3" applyNumberFormat="1" applyFont="1" applyAlignment="1">
      <alignment horizontal="right"/>
    </xf>
    <xf numFmtId="0" fontId="151" fillId="10" borderId="1" xfId="0" applyFont="1" applyFill="1" applyBorder="1" applyAlignment="1">
      <alignment horizontal="center" vertical="center"/>
    </xf>
    <xf numFmtId="0" fontId="151" fillId="10" borderId="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left" vertical="center" wrapText="1" indent="1"/>
    </xf>
    <xf numFmtId="0" fontId="56" fillId="0" borderId="3" xfId="0" applyFont="1" applyBorder="1" applyAlignment="1">
      <alignment horizontal="left" vertical="center" wrapText="1" indent="1"/>
    </xf>
    <xf numFmtId="0" fontId="151" fillId="10" borderId="4" xfId="0" applyFont="1" applyFill="1" applyBorder="1" applyAlignment="1">
      <alignment horizontal="center" vertical="center"/>
    </xf>
    <xf numFmtId="0" fontId="151" fillId="10" borderId="5" xfId="0" applyFont="1" applyFill="1" applyBorder="1" applyAlignment="1">
      <alignment horizontal="center" vertical="center"/>
    </xf>
    <xf numFmtId="12" fontId="56" fillId="0" borderId="27" xfId="0" applyNumberFormat="1" applyFont="1" applyBorder="1" applyAlignment="1">
      <alignment horizontal="left" vertical="center" wrapText="1" indent="1"/>
    </xf>
    <xf numFmtId="12" fontId="56" fillId="0" borderId="52" xfId="0" applyNumberFormat="1" applyFont="1" applyBorder="1" applyAlignment="1">
      <alignment horizontal="left" vertical="center" wrapText="1" indent="1"/>
    </xf>
    <xf numFmtId="220" fontId="157" fillId="0" borderId="0" xfId="3" applyNumberFormat="1" applyFont="1" applyAlignment="1">
      <alignment horizontal="distributed" vertical="center" indent="2"/>
    </xf>
    <xf numFmtId="14" fontId="156" fillId="0" borderId="0" xfId="3" applyNumberFormat="1" applyFont="1" applyAlignment="1">
      <alignment horizontal="center" vertical="center"/>
    </xf>
    <xf numFmtId="0" fontId="156" fillId="0" borderId="0" xfId="3" applyFont="1" applyAlignment="1">
      <alignment horizontal="center" vertical="center"/>
    </xf>
    <xf numFmtId="0" fontId="161" fillId="0" borderId="0" xfId="3" applyFont="1" applyAlignment="1">
      <alignment horizontal="distributed" vertical="center"/>
    </xf>
    <xf numFmtId="14" fontId="158" fillId="0" borderId="0" xfId="3" applyNumberFormat="1" applyFont="1" applyAlignment="1">
      <alignment horizontal="center" vertical="center" wrapText="1"/>
    </xf>
    <xf numFmtId="223" fontId="8" fillId="0" borderId="27" xfId="3" quotePrefix="1" applyNumberFormat="1" applyFont="1" applyBorder="1" applyAlignment="1">
      <alignment horizontal="center" vertical="center"/>
    </xf>
    <xf numFmtId="223" fontId="8" fillId="0" borderId="52" xfId="3" applyNumberFormat="1" applyFont="1" applyBorder="1" applyAlignment="1">
      <alignment horizontal="center" vertical="center"/>
    </xf>
    <xf numFmtId="0" fontId="8" fillId="0" borderId="51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  <xf numFmtId="0" fontId="8" fillId="0" borderId="52" xfId="3" applyFont="1" applyBorder="1" applyAlignment="1">
      <alignment horizontal="center" vertical="center"/>
    </xf>
    <xf numFmtId="3" fontId="8" fillId="0" borderId="5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212" fontId="8" fillId="0" borderId="17" xfId="3" applyNumberFormat="1" applyFont="1" applyBorder="1" applyAlignment="1">
      <alignment horizontal="center" vertical="center"/>
    </xf>
    <xf numFmtId="212" fontId="8" fillId="0" borderId="18" xfId="3" applyNumberFormat="1" applyFont="1" applyBorder="1" applyAlignment="1">
      <alignment horizontal="center" vertical="center"/>
    </xf>
    <xf numFmtId="212" fontId="8" fillId="0" borderId="27" xfId="3" applyNumberFormat="1" applyFont="1" applyBorder="1" applyAlignment="1">
      <alignment horizontal="center" vertical="center"/>
    </xf>
    <xf numFmtId="212" fontId="8" fillId="0" borderId="52" xfId="3" applyNumberFormat="1" applyFont="1" applyBorder="1" applyAlignment="1">
      <alignment horizontal="center" vertical="center"/>
    </xf>
    <xf numFmtId="0" fontId="8" fillId="0" borderId="8" xfId="3" applyFont="1" applyBorder="1">
      <alignment vertical="center"/>
    </xf>
    <xf numFmtId="0" fontId="23" fillId="10" borderId="54" xfId="3" applyFont="1" applyFill="1" applyBorder="1" applyAlignment="1">
      <alignment horizontal="center" vertical="center"/>
    </xf>
    <xf numFmtId="0" fontId="23" fillId="10" borderId="92" xfId="3" applyFont="1" applyFill="1" applyBorder="1" applyAlignment="1">
      <alignment horizontal="center" vertical="center"/>
    </xf>
    <xf numFmtId="0" fontId="23" fillId="10" borderId="53" xfId="3" applyFont="1" applyFill="1" applyBorder="1" applyAlignment="1">
      <alignment horizontal="center" vertical="center"/>
    </xf>
    <xf numFmtId="223" fontId="162" fillId="0" borderId="27" xfId="3" quotePrefix="1" applyNumberFormat="1" applyFont="1" applyBorder="1" applyAlignment="1">
      <alignment horizontal="center" vertical="center"/>
    </xf>
    <xf numFmtId="223" fontId="162" fillId="0" borderId="52" xfId="3" applyNumberFormat="1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49" fillId="0" borderId="49" xfId="3" applyFont="1" applyBorder="1" applyAlignment="1">
      <alignment horizontal="right"/>
    </xf>
    <xf numFmtId="12" fontId="56" fillId="0" borderId="5" xfId="0" applyNumberFormat="1" applyFont="1" applyBorder="1" applyAlignment="1">
      <alignment horizontal="left" vertical="center" wrapText="1" indent="1"/>
    </xf>
    <xf numFmtId="0" fontId="56" fillId="0" borderId="5" xfId="0" applyFont="1" applyBorder="1" applyAlignment="1">
      <alignment horizontal="left" vertical="center" wrapText="1" indent="1"/>
    </xf>
    <xf numFmtId="0" fontId="56" fillId="0" borderId="6" xfId="0" applyFont="1" applyBorder="1" applyAlignment="1">
      <alignment horizontal="left" vertical="center" wrapText="1" indent="1"/>
    </xf>
    <xf numFmtId="194" fontId="7" fillId="0" borderId="0" xfId="5" applyNumberFormat="1" applyFont="1" applyAlignment="1">
      <alignment vertical="center"/>
    </xf>
    <xf numFmtId="0" fontId="39" fillId="0" borderId="0" xfId="3" applyFont="1">
      <alignment vertical="center"/>
    </xf>
    <xf numFmtId="0" fontId="78" fillId="0" borderId="5" xfId="0" applyFont="1" applyBorder="1" applyAlignment="1">
      <alignment horizontal="center" vertical="center"/>
    </xf>
    <xf numFmtId="0" fontId="226" fillId="0" borderId="0" xfId="0" applyFont="1" applyAlignment="1">
      <alignment horizontal="center" vertical="center"/>
    </xf>
    <xf numFmtId="178" fontId="226" fillId="0" borderId="0" xfId="0" applyNumberFormat="1" applyFont="1" applyAlignment="1">
      <alignment horizontal="center" vertical="center"/>
    </xf>
    <xf numFmtId="2" fontId="183" fillId="0" borderId="5" xfId="0" applyNumberFormat="1" applyFont="1" applyBorder="1" applyAlignment="1">
      <alignment horizontal="center" vertical="center" wrapText="1"/>
    </xf>
    <xf numFmtId="2" fontId="78" fillId="0" borderId="5" xfId="0" applyNumberFormat="1" applyFont="1" applyBorder="1" applyAlignment="1">
      <alignment horizontal="center" vertical="center" wrapText="1"/>
    </xf>
    <xf numFmtId="0" fontId="71" fillId="3" borderId="2" xfId="0" applyFont="1" applyFill="1" applyBorder="1" applyAlignment="1">
      <alignment horizontal="center" vertical="center" wrapText="1"/>
    </xf>
    <xf numFmtId="0" fontId="71" fillId="3" borderId="5" xfId="0" applyFont="1" applyFill="1" applyBorder="1" applyAlignment="1">
      <alignment horizontal="center" vertical="center" wrapText="1"/>
    </xf>
    <xf numFmtId="176" fontId="180" fillId="0" borderId="5" xfId="0" applyNumberFormat="1" applyFont="1" applyBorder="1" applyAlignment="1">
      <alignment horizontal="center" vertical="center" wrapText="1"/>
    </xf>
    <xf numFmtId="2" fontId="76" fillId="0" borderId="5" xfId="0" applyNumberFormat="1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2" fontId="79" fillId="3" borderId="17" xfId="0" applyNumberFormat="1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230" fontId="226" fillId="0" borderId="0" xfId="0" applyNumberFormat="1" applyFont="1" applyAlignment="1">
      <alignment horizontal="center" vertical="center"/>
    </xf>
    <xf numFmtId="197" fontId="226" fillId="0" borderId="0" xfId="0" applyNumberFormat="1" applyFont="1" applyAlignment="1">
      <alignment horizontal="center" vertical="center"/>
    </xf>
    <xf numFmtId="197" fontId="225" fillId="0" borderId="0" xfId="0" applyNumberFormat="1" applyFont="1" applyAlignment="1">
      <alignment horizontal="center" vertical="center"/>
    </xf>
    <xf numFmtId="213" fontId="226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77" fontId="21" fillId="0" borderId="6" xfId="4" applyNumberFormat="1" applyFont="1" applyBorder="1" applyAlignment="1">
      <alignment horizontal="center" vertical="center"/>
    </xf>
    <xf numFmtId="177" fontId="21" fillId="0" borderId="4" xfId="4" applyNumberFormat="1" applyFont="1" applyBorder="1" applyAlignment="1">
      <alignment horizontal="center" vertical="center"/>
    </xf>
    <xf numFmtId="3" fontId="199" fillId="5" borderId="95" xfId="1" applyNumberFormat="1" applyFont="1" applyFill="1" applyBorder="1" applyAlignment="1">
      <alignment horizontal="right" vertical="center"/>
    </xf>
    <xf numFmtId="3" fontId="199" fillId="5" borderId="4" xfId="1" applyNumberFormat="1" applyFont="1" applyFill="1" applyBorder="1" applyAlignment="1">
      <alignment horizontal="right" vertical="center"/>
    </xf>
    <xf numFmtId="0" fontId="75" fillId="3" borderId="5" xfId="0" applyFont="1" applyFill="1" applyBorder="1" applyAlignment="1">
      <alignment horizontal="center" vertical="center" wrapText="1"/>
    </xf>
    <xf numFmtId="176" fontId="76" fillId="0" borderId="5" xfId="0" applyNumberFormat="1" applyFont="1" applyBorder="1" applyAlignment="1">
      <alignment horizontal="center" vertical="center" wrapText="1"/>
    </xf>
    <xf numFmtId="181" fontId="21" fillId="0" borderId="13" xfId="0" applyNumberFormat="1" applyFont="1" applyBorder="1" applyAlignment="1">
      <alignment horizontal="center" vertical="center"/>
    </xf>
    <xf numFmtId="0" fontId="211" fillId="5" borderId="31" xfId="0" applyFont="1" applyFill="1" applyBorder="1" applyAlignment="1">
      <alignment horizontal="center" vertical="center"/>
    </xf>
    <xf numFmtId="0" fontId="211" fillId="5" borderId="32" xfId="0" applyFont="1" applyFill="1" applyBorder="1" applyAlignment="1">
      <alignment horizontal="center" vertical="center"/>
    </xf>
    <xf numFmtId="0" fontId="70" fillId="3" borderId="2" xfId="0" applyFont="1" applyFill="1" applyBorder="1" applyAlignment="1">
      <alignment horizontal="center" vertical="center" wrapText="1"/>
    </xf>
    <xf numFmtId="0" fontId="72" fillId="3" borderId="2" xfId="0" applyFont="1" applyFill="1" applyBorder="1" applyAlignment="1">
      <alignment horizontal="center" vertical="center" wrapText="1"/>
    </xf>
    <xf numFmtId="0" fontId="72" fillId="3" borderId="5" xfId="0" applyFont="1" applyFill="1" applyBorder="1" applyAlignment="1">
      <alignment horizontal="center" vertical="center" wrapText="1"/>
    </xf>
    <xf numFmtId="0" fontId="68" fillId="0" borderId="92" xfId="5" applyFont="1" applyBorder="1" applyAlignment="1">
      <alignment horizontal="center" vertical="center"/>
    </xf>
    <xf numFmtId="0" fontId="68" fillId="0" borderId="92" xfId="3" applyFont="1" applyBorder="1" applyAlignment="1">
      <alignment horizontal="center" vertical="center"/>
    </xf>
    <xf numFmtId="0" fontId="53" fillId="0" borderId="0" xfId="5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3" fillId="0" borderId="8" xfId="3" applyFont="1" applyBorder="1" applyAlignment="1">
      <alignment horizontal="center" vertical="center"/>
    </xf>
    <xf numFmtId="0" fontId="8" fillId="0" borderId="35" xfId="3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132" fillId="0" borderId="0" xfId="0" applyFont="1" applyAlignment="1">
      <alignment horizontal="center" vertical="center"/>
    </xf>
    <xf numFmtId="206" fontId="132" fillId="0" borderId="0" xfId="0" applyNumberFormat="1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206" fontId="95" fillId="0" borderId="0" xfId="3" applyNumberFormat="1" applyFont="1" applyAlignment="1">
      <alignment horizontal="center" vertical="center"/>
    </xf>
    <xf numFmtId="0" fontId="95" fillId="0" borderId="0" xfId="3" applyFont="1" applyAlignment="1">
      <alignment horizontal="center" vertical="center"/>
    </xf>
    <xf numFmtId="0" fontId="225" fillId="3" borderId="128" xfId="0" applyFont="1" applyFill="1" applyBorder="1" applyAlignment="1">
      <alignment horizontal="center" vertical="center"/>
    </xf>
    <xf numFmtId="0" fontId="225" fillId="3" borderId="129" xfId="0" applyFont="1" applyFill="1" applyBorder="1" applyAlignment="1">
      <alignment horizontal="center" vertical="center"/>
    </xf>
    <xf numFmtId="213" fontId="234" fillId="0" borderId="0" xfId="0" applyNumberFormat="1" applyFont="1" applyAlignment="1">
      <alignment horizontal="center" vertical="center"/>
    </xf>
    <xf numFmtId="0" fontId="234" fillId="0" borderId="0" xfId="0" applyFont="1" applyAlignment="1">
      <alignment horizontal="center" vertical="center"/>
    </xf>
    <xf numFmtId="206" fontId="234" fillId="0" borderId="0" xfId="0" applyNumberFormat="1" applyFont="1" applyAlignment="1">
      <alignment horizontal="center" vertical="center"/>
    </xf>
    <xf numFmtId="186" fontId="234" fillId="0" borderId="0" xfId="0" applyNumberFormat="1" applyFont="1" applyAlignment="1">
      <alignment horizontal="center" vertical="center"/>
    </xf>
    <xf numFmtId="178" fontId="234" fillId="0" borderId="0" xfId="0" applyNumberFormat="1" applyFont="1" applyAlignment="1">
      <alignment horizontal="center" vertical="center"/>
    </xf>
    <xf numFmtId="0" fontId="225" fillId="3" borderId="115" xfId="0" applyFont="1" applyFill="1" applyBorder="1" applyAlignment="1">
      <alignment horizontal="center" vertical="center"/>
    </xf>
    <xf numFmtId="0" fontId="225" fillId="3" borderId="116" xfId="0" applyFont="1" applyFill="1" applyBorder="1" applyAlignment="1">
      <alignment horizontal="center" vertical="center"/>
    </xf>
    <xf numFmtId="0" fontId="225" fillId="3" borderId="120" xfId="0" applyFont="1" applyFill="1" applyBorder="1" applyAlignment="1">
      <alignment horizontal="center" vertical="center"/>
    </xf>
    <xf numFmtId="0" fontId="225" fillId="3" borderId="124" xfId="0" applyFont="1" applyFill="1" applyBorder="1" applyAlignment="1">
      <alignment horizontal="center" vertical="center"/>
    </xf>
    <xf numFmtId="0" fontId="225" fillId="3" borderId="116" xfId="0" applyFont="1" applyFill="1" applyBorder="1" applyAlignment="1">
      <alignment horizontal="center" vertical="center" wrapText="1"/>
    </xf>
    <xf numFmtId="0" fontId="225" fillId="3" borderId="117" xfId="0" applyFont="1" applyFill="1" applyBorder="1" applyAlignment="1">
      <alignment horizontal="center" vertical="center"/>
    </xf>
    <xf numFmtId="0" fontId="225" fillId="3" borderId="118" xfId="0" applyFont="1" applyFill="1" applyBorder="1" applyAlignment="1">
      <alignment horizontal="center" vertical="center"/>
    </xf>
    <xf numFmtId="178" fontId="59" fillId="0" borderId="5" xfId="5" applyNumberFormat="1" applyFont="1" applyBorder="1" applyAlignment="1">
      <alignment horizontal="center" vertical="center"/>
    </xf>
    <xf numFmtId="198" fontId="59" fillId="0" borderId="5" xfId="5" applyNumberFormat="1" applyFont="1" applyBorder="1" applyAlignment="1">
      <alignment horizontal="center" vertical="center"/>
    </xf>
    <xf numFmtId="198" fontId="59" fillId="0" borderId="75" xfId="5" applyNumberFormat="1" applyFont="1" applyBorder="1" applyAlignment="1">
      <alignment horizontal="center" vertical="center"/>
    </xf>
    <xf numFmtId="177" fontId="59" fillId="0" borderId="5" xfId="5" applyNumberFormat="1" applyFont="1" applyBorder="1" applyAlignment="1">
      <alignment horizontal="center" vertical="center"/>
    </xf>
    <xf numFmtId="2" fontId="59" fillId="0" borderId="5" xfId="5" applyNumberFormat="1" applyFont="1" applyBorder="1" applyAlignment="1">
      <alignment horizontal="center" vertical="center"/>
    </xf>
    <xf numFmtId="220" fontId="59" fillId="0" borderId="5" xfId="5" applyNumberFormat="1" applyFont="1" applyBorder="1" applyAlignment="1">
      <alignment horizontal="center" vertical="center"/>
    </xf>
    <xf numFmtId="0" fontId="59" fillId="0" borderId="5" xfId="5" applyFont="1" applyBorder="1" applyAlignment="1">
      <alignment horizontal="center" vertical="center"/>
    </xf>
    <xf numFmtId="0" fontId="111" fillId="4" borderId="96" xfId="4" applyFont="1" applyFill="1" applyBorder="1" applyAlignment="1">
      <alignment horizontal="center" vertical="center" wrapText="1"/>
    </xf>
    <xf numFmtId="0" fontId="111" fillId="4" borderId="97" xfId="4" applyFont="1" applyFill="1" applyBorder="1" applyAlignment="1">
      <alignment horizontal="center" vertical="center" wrapText="1"/>
    </xf>
    <xf numFmtId="0" fontId="111" fillId="4" borderId="98" xfId="4" applyFont="1" applyFill="1" applyBorder="1" applyAlignment="1">
      <alignment horizontal="center" vertical="center" wrapText="1"/>
    </xf>
    <xf numFmtId="0" fontId="111" fillId="4" borderId="41" xfId="4" applyFont="1" applyFill="1" applyBorder="1" applyAlignment="1">
      <alignment horizontal="center" vertical="center" wrapText="1"/>
    </xf>
    <xf numFmtId="0" fontId="111" fillId="4" borderId="0" xfId="4" applyFont="1" applyFill="1" applyAlignment="1">
      <alignment horizontal="center" vertical="center" wrapText="1"/>
    </xf>
    <xf numFmtId="0" fontId="111" fillId="4" borderId="48" xfId="4" applyFont="1" applyFill="1" applyBorder="1" applyAlignment="1">
      <alignment horizontal="center" vertical="center" wrapText="1"/>
    </xf>
    <xf numFmtId="0" fontId="111" fillId="4" borderId="99" xfId="4" applyFont="1" applyFill="1" applyBorder="1" applyAlignment="1">
      <alignment horizontal="center" vertical="center" wrapText="1"/>
    </xf>
    <xf numFmtId="0" fontId="111" fillId="4" borderId="50" xfId="4" applyFont="1" applyFill="1" applyBorder="1" applyAlignment="1">
      <alignment horizontal="center" vertical="center" wrapText="1"/>
    </xf>
    <xf numFmtId="0" fontId="111" fillId="4" borderId="51" xfId="4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214" fontId="183" fillId="0" borderId="5" xfId="0" applyNumberFormat="1" applyFont="1" applyBorder="1" applyAlignment="1">
      <alignment horizontal="center" vertical="center" wrapText="1"/>
    </xf>
    <xf numFmtId="214" fontId="78" fillId="0" borderId="5" xfId="0" applyNumberFormat="1" applyFont="1" applyBorder="1" applyAlignment="1">
      <alignment horizontal="center" vertical="center" wrapText="1"/>
    </xf>
    <xf numFmtId="0" fontId="67" fillId="0" borderId="0" xfId="5" applyFont="1" applyAlignment="1">
      <alignment horizontal="center" vertical="center"/>
    </xf>
    <xf numFmtId="0" fontId="76" fillId="0" borderId="5" xfId="0" applyFont="1" applyBorder="1" applyAlignment="1">
      <alignment horizontal="center" vertical="center" wrapText="1"/>
    </xf>
    <xf numFmtId="0" fontId="17" fillId="4" borderId="11" xfId="4" applyFont="1" applyFill="1" applyBorder="1" applyAlignment="1">
      <alignment horizontal="center" vertical="center"/>
    </xf>
    <xf numFmtId="0" fontId="17" fillId="4" borderId="27" xfId="4" applyFont="1" applyFill="1" applyBorder="1" applyAlignment="1">
      <alignment horizontal="center" vertical="center"/>
    </xf>
    <xf numFmtId="212" fontId="226" fillId="0" borderId="34" xfId="0" applyNumberFormat="1" applyFont="1" applyBorder="1" applyAlignment="1">
      <alignment horizontal="center" vertical="center"/>
    </xf>
    <xf numFmtId="212" fontId="226" fillId="0" borderId="35" xfId="0" applyNumberFormat="1" applyFont="1" applyBorder="1" applyAlignment="1">
      <alignment horizontal="center" vertical="center"/>
    </xf>
    <xf numFmtId="232" fontId="226" fillId="0" borderId="0" xfId="0" applyNumberFormat="1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 wrapText="1"/>
    </xf>
    <xf numFmtId="0" fontId="70" fillId="3" borderId="4" xfId="0" applyFont="1" applyFill="1" applyBorder="1" applyAlignment="1">
      <alignment horizontal="center" vertical="center" wrapText="1"/>
    </xf>
    <xf numFmtId="0" fontId="70" fillId="3" borderId="5" xfId="0" applyFont="1" applyFill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0" fontId="170" fillId="0" borderId="5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70" fillId="3" borderId="2" xfId="0" applyFont="1" applyFill="1" applyBorder="1" applyAlignment="1">
      <alignment horizontal="center" vertical="center"/>
    </xf>
    <xf numFmtId="176" fontId="40" fillId="0" borderId="6" xfId="0" applyNumberFormat="1" applyFont="1" applyBorder="1" applyAlignment="1">
      <alignment horizontal="center" vertical="center" wrapText="1"/>
    </xf>
    <xf numFmtId="176" fontId="40" fillId="0" borderId="95" xfId="0" applyNumberFormat="1" applyFont="1" applyBorder="1" applyAlignment="1">
      <alignment horizontal="center" vertical="center" wrapText="1"/>
    </xf>
    <xf numFmtId="176" fontId="40" fillId="0" borderId="4" xfId="0" applyNumberFormat="1" applyFont="1" applyBorder="1" applyAlignment="1">
      <alignment horizontal="center" vertical="center" wrapText="1"/>
    </xf>
    <xf numFmtId="0" fontId="58" fillId="9" borderId="6" xfId="0" applyFont="1" applyFill="1" applyBorder="1" applyAlignment="1">
      <alignment horizontal="center" vertical="center" wrapText="1"/>
    </xf>
    <xf numFmtId="0" fontId="58" fillId="9" borderId="95" xfId="0" applyFont="1" applyFill="1" applyBorder="1" applyAlignment="1">
      <alignment horizontal="center" vertical="center" wrapText="1"/>
    </xf>
    <xf numFmtId="0" fontId="58" fillId="9" borderId="4" xfId="0" applyFont="1" applyFill="1" applyBorder="1" applyAlignment="1">
      <alignment horizontal="center" vertical="center" wrapText="1"/>
    </xf>
    <xf numFmtId="0" fontId="179" fillId="9" borderId="6" xfId="0" applyFont="1" applyFill="1" applyBorder="1" applyAlignment="1">
      <alignment horizontal="center" vertical="center" wrapText="1"/>
    </xf>
    <xf numFmtId="0" fontId="179" fillId="9" borderId="4" xfId="0" applyFont="1" applyFill="1" applyBorder="1" applyAlignment="1">
      <alignment horizontal="center" vertical="center" wrapText="1"/>
    </xf>
    <xf numFmtId="184" fontId="40" fillId="5" borderId="6" xfId="0" applyNumberFormat="1" applyFont="1" applyFill="1" applyBorder="1" applyAlignment="1">
      <alignment horizontal="center" vertical="center" wrapText="1"/>
    </xf>
    <xf numFmtId="184" fontId="40" fillId="5" borderId="4" xfId="0" applyNumberFormat="1" applyFont="1" applyFill="1" applyBorder="1" applyAlignment="1">
      <alignment horizontal="center" vertical="center" wrapText="1"/>
    </xf>
    <xf numFmtId="176" fontId="58" fillId="9" borderId="6" xfId="0" applyNumberFormat="1" applyFont="1" applyFill="1" applyBorder="1" applyAlignment="1">
      <alignment horizontal="center" vertical="center" wrapText="1"/>
    </xf>
    <xf numFmtId="176" fontId="58" fillId="9" borderId="4" xfId="0" applyNumberFormat="1" applyFont="1" applyFill="1" applyBorder="1" applyAlignment="1">
      <alignment horizontal="center" vertical="center" wrapText="1"/>
    </xf>
    <xf numFmtId="4" fontId="44" fillId="0" borderId="0" xfId="3" applyNumberFormat="1" applyFont="1" applyAlignment="1">
      <alignment horizontal="center" vertical="center"/>
    </xf>
    <xf numFmtId="3" fontId="40" fillId="3" borderId="17" xfId="0" applyNumberFormat="1" applyFont="1" applyFill="1" applyBorder="1" applyAlignment="1">
      <alignment horizontal="center" vertical="center"/>
    </xf>
    <xf numFmtId="3" fontId="40" fillId="3" borderId="18" xfId="0" applyNumberFormat="1" applyFont="1" applyFill="1" applyBorder="1" applyAlignment="1">
      <alignment horizontal="center" vertical="center"/>
    </xf>
    <xf numFmtId="0" fontId="174" fillId="0" borderId="13" xfId="0" applyFont="1" applyBorder="1" applyAlignment="1">
      <alignment horizontal="center" vertical="center" wrapText="1"/>
    </xf>
    <xf numFmtId="0" fontId="17" fillId="4" borderId="7" xfId="4" applyFont="1" applyFill="1" applyBorder="1" applyAlignment="1">
      <alignment horizontal="center" vertical="center"/>
    </xf>
    <xf numFmtId="0" fontId="17" fillId="4" borderId="8" xfId="4" applyFont="1" applyFill="1" applyBorder="1" applyAlignment="1">
      <alignment horizontal="center" vertical="center"/>
    </xf>
    <xf numFmtId="0" fontId="17" fillId="4" borderId="9" xfId="4" applyFont="1" applyFill="1" applyBorder="1" applyAlignment="1">
      <alignment horizontal="center" vertical="center"/>
    </xf>
    <xf numFmtId="0" fontId="17" fillId="4" borderId="99" xfId="4" applyFont="1" applyFill="1" applyBorder="1" applyAlignment="1">
      <alignment horizontal="center" vertical="center"/>
    </xf>
    <xf numFmtId="0" fontId="17" fillId="4" borderId="50" xfId="4" applyFont="1" applyFill="1" applyBorder="1" applyAlignment="1">
      <alignment horizontal="center" vertical="center"/>
    </xf>
    <xf numFmtId="0" fontId="17" fillId="4" borderId="51" xfId="4" applyFont="1" applyFill="1" applyBorder="1" applyAlignment="1">
      <alignment horizontal="center" vertical="center"/>
    </xf>
    <xf numFmtId="0" fontId="205" fillId="4" borderId="12" xfId="4" applyFont="1" applyFill="1" applyBorder="1" applyAlignment="1">
      <alignment horizontal="center" vertical="center" wrapText="1"/>
    </xf>
    <xf numFmtId="0" fontId="17" fillId="4" borderId="100" xfId="4" applyFont="1" applyFill="1" applyBorder="1" applyAlignment="1">
      <alignment horizontal="center" vertical="center" wrapText="1"/>
    </xf>
    <xf numFmtId="0" fontId="205" fillId="4" borderId="81" xfId="4" applyFont="1" applyFill="1" applyBorder="1" applyAlignment="1">
      <alignment horizontal="center" vertical="center" wrapText="1"/>
    </xf>
    <xf numFmtId="0" fontId="17" fillId="4" borderId="135" xfId="4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26" fillId="0" borderId="36" xfId="0" applyFont="1" applyBorder="1" applyAlignment="1">
      <alignment horizontal="center" vertical="center"/>
    </xf>
    <xf numFmtId="0" fontId="226" fillId="0" borderId="33" xfId="0" applyFont="1" applyBorder="1" applyAlignment="1">
      <alignment horizontal="center" vertical="center"/>
    </xf>
    <xf numFmtId="232" fontId="226" fillId="0" borderId="33" xfId="0" applyNumberFormat="1" applyFont="1" applyBorder="1" applyAlignment="1">
      <alignment horizontal="center" vertical="center"/>
    </xf>
    <xf numFmtId="232" fontId="226" fillId="0" borderId="34" xfId="0" applyNumberFormat="1" applyFont="1" applyBorder="1" applyAlignment="1">
      <alignment horizontal="center" vertical="center"/>
    </xf>
    <xf numFmtId="0" fontId="226" fillId="0" borderId="32" xfId="0" applyFont="1" applyBorder="1" applyAlignment="1">
      <alignment horizontal="center" vertical="center"/>
    </xf>
    <xf numFmtId="0" fontId="226" fillId="0" borderId="13" xfId="0" applyFont="1" applyBorder="1" applyAlignment="1">
      <alignment horizontal="center" vertical="center"/>
    </xf>
    <xf numFmtId="232" fontId="226" fillId="0" borderId="13" xfId="0" applyNumberFormat="1" applyFont="1" applyBorder="1" applyAlignment="1">
      <alignment horizontal="center" vertical="center"/>
    </xf>
    <xf numFmtId="232" fontId="226" fillId="0" borderId="31" xfId="0" applyNumberFormat="1" applyFont="1" applyBorder="1" applyAlignment="1">
      <alignment horizontal="center" vertical="center"/>
    </xf>
    <xf numFmtId="0" fontId="226" fillId="0" borderId="32" xfId="0" applyFont="1" applyBorder="1" applyAlignment="1">
      <alignment horizontal="center" vertical="center" wrapText="1"/>
    </xf>
    <xf numFmtId="0" fontId="226" fillId="0" borderId="125" xfId="0" applyFont="1" applyBorder="1" applyAlignment="1">
      <alignment horizontal="center" vertical="center"/>
    </xf>
    <xf numFmtId="0" fontId="226" fillId="0" borderId="126" xfId="0" applyFont="1" applyBorder="1" applyAlignment="1">
      <alignment horizontal="center" vertical="center"/>
    </xf>
    <xf numFmtId="232" fontId="226" fillId="0" borderId="126" xfId="0" applyNumberFormat="1" applyFont="1" applyBorder="1" applyAlignment="1">
      <alignment horizontal="center" vertical="center"/>
    </xf>
    <xf numFmtId="232" fontId="226" fillId="0" borderId="127" xfId="0" applyNumberFormat="1" applyFont="1" applyBorder="1" applyAlignment="1">
      <alignment horizontal="center" vertical="center"/>
    </xf>
    <xf numFmtId="197" fontId="226" fillId="0" borderId="121" xfId="0" applyNumberFormat="1" applyFont="1" applyBorder="1" applyAlignment="1">
      <alignment horizontal="center" vertical="center"/>
    </xf>
    <xf numFmtId="197" fontId="226" fillId="0" borderId="122" xfId="0" applyNumberFormat="1" applyFont="1" applyBorder="1" applyAlignment="1">
      <alignment horizontal="center" vertical="center"/>
    </xf>
    <xf numFmtId="213" fontId="226" fillId="0" borderId="122" xfId="0" applyNumberFormat="1" applyFont="1" applyBorder="1" applyAlignment="1">
      <alignment horizontal="center" vertical="center"/>
    </xf>
    <xf numFmtId="197" fontId="226" fillId="0" borderId="123" xfId="0" applyNumberFormat="1" applyFont="1" applyBorder="1" applyAlignment="1">
      <alignment horizontal="center" vertical="center"/>
    </xf>
    <xf numFmtId="197" fontId="226" fillId="0" borderId="35" xfId="0" applyNumberFormat="1" applyFont="1" applyBorder="1" applyAlignment="1">
      <alignment horizontal="center" vertical="center"/>
    </xf>
    <xf numFmtId="178" fontId="226" fillId="0" borderId="35" xfId="0" applyNumberFormat="1" applyFont="1" applyBorder="1" applyAlignment="1">
      <alignment horizontal="center" vertical="center"/>
    </xf>
    <xf numFmtId="181" fontId="226" fillId="0" borderId="0" xfId="0" applyNumberFormat="1" applyFont="1" applyAlignment="1">
      <alignment horizontal="center" vertical="center"/>
    </xf>
    <xf numFmtId="181" fontId="225" fillId="0" borderId="0" xfId="0" applyNumberFormat="1" applyFont="1" applyAlignment="1">
      <alignment horizontal="center" vertical="center"/>
    </xf>
    <xf numFmtId="0" fontId="225" fillId="0" borderId="0" xfId="0" applyFont="1" applyAlignment="1">
      <alignment horizontal="center" vertical="center"/>
    </xf>
    <xf numFmtId="0" fontId="225" fillId="3" borderId="32" xfId="0" applyFont="1" applyFill="1" applyBorder="1" applyAlignment="1">
      <alignment horizontal="center" vertical="center" wrapText="1"/>
    </xf>
    <xf numFmtId="0" fontId="225" fillId="3" borderId="13" xfId="0" applyFont="1" applyFill="1" applyBorder="1" applyAlignment="1">
      <alignment horizontal="center" vertical="center" wrapText="1"/>
    </xf>
    <xf numFmtId="0" fontId="225" fillId="3" borderId="120" xfId="0" applyFont="1" applyFill="1" applyBorder="1" applyAlignment="1">
      <alignment horizontal="center" vertical="center" wrapText="1"/>
    </xf>
    <xf numFmtId="0" fontId="225" fillId="3" borderId="124" xfId="0" applyFont="1" applyFill="1" applyBorder="1" applyAlignment="1">
      <alignment horizontal="center" vertical="center" wrapText="1"/>
    </xf>
    <xf numFmtId="0" fontId="225" fillId="3" borderId="31" xfId="0" applyFont="1" applyFill="1" applyBorder="1" applyAlignment="1">
      <alignment horizontal="center" vertical="center" wrapText="1"/>
    </xf>
    <xf numFmtId="0" fontId="225" fillId="3" borderId="118" xfId="0" applyFont="1" applyFill="1" applyBorder="1" applyAlignment="1">
      <alignment horizontal="center" vertical="center" wrapText="1"/>
    </xf>
    <xf numFmtId="0" fontId="225" fillId="3" borderId="13" xfId="0" applyFont="1" applyFill="1" applyBorder="1" applyAlignment="1">
      <alignment horizontal="center" vertical="center"/>
    </xf>
    <xf numFmtId="233" fontId="226" fillId="0" borderId="0" xfId="0" applyNumberFormat="1" applyFont="1" applyAlignment="1">
      <alignment horizontal="center" vertical="center"/>
    </xf>
    <xf numFmtId="0" fontId="226" fillId="0" borderId="13" xfId="0" applyFont="1" applyBorder="1" applyAlignment="1">
      <alignment horizontal="center" vertical="center" wrapText="1"/>
    </xf>
    <xf numFmtId="0" fontId="226" fillId="0" borderId="31" xfId="0" applyFont="1" applyBorder="1" applyAlignment="1">
      <alignment horizontal="center" vertical="center" wrapText="1"/>
    </xf>
    <xf numFmtId="0" fontId="226" fillId="0" borderId="7" xfId="0" applyFont="1" applyBorder="1" applyAlignment="1">
      <alignment horizontal="center" vertical="center"/>
    </xf>
    <xf numFmtId="0" fontId="226" fillId="0" borderId="8" xfId="0" applyFont="1" applyBorder="1" applyAlignment="1">
      <alignment horizontal="center" vertical="center"/>
    </xf>
    <xf numFmtId="212" fontId="226" fillId="0" borderId="7" xfId="0" applyNumberFormat="1" applyFont="1" applyBorder="1" applyAlignment="1">
      <alignment horizontal="center" vertical="center"/>
    </xf>
    <xf numFmtId="212" fontId="226" fillId="0" borderId="8" xfId="0" applyNumberFormat="1" applyFont="1" applyBorder="1" applyAlignment="1">
      <alignment horizontal="center" vertical="center"/>
    </xf>
    <xf numFmtId="0" fontId="226" fillId="0" borderId="41" xfId="0" applyFont="1" applyBorder="1" applyAlignment="1">
      <alignment horizontal="center" vertical="center"/>
    </xf>
    <xf numFmtId="212" fontId="226" fillId="0" borderId="41" xfId="0" applyNumberFormat="1" applyFont="1" applyBorder="1" applyAlignment="1">
      <alignment horizontal="center" vertical="center"/>
    </xf>
    <xf numFmtId="212" fontId="226" fillId="0" borderId="0" xfId="0" applyNumberFormat="1" applyFont="1" applyAlignment="1">
      <alignment horizontal="center" vertical="center"/>
    </xf>
    <xf numFmtId="0" fontId="226" fillId="0" borderId="34" xfId="0" applyFont="1" applyBorder="1" applyAlignment="1">
      <alignment horizontal="center" vertical="center"/>
    </xf>
    <xf numFmtId="0" fontId="226" fillId="0" borderId="35" xfId="0" applyFont="1" applyBorder="1" applyAlignment="1">
      <alignment horizontal="center" vertical="center"/>
    </xf>
    <xf numFmtId="0" fontId="226" fillId="0" borderId="40" xfId="0" applyFont="1" applyBorder="1" applyAlignment="1">
      <alignment horizontal="center" vertical="center" wrapText="1"/>
    </xf>
    <xf numFmtId="0" fontId="226" fillId="0" borderId="81" xfId="0" applyFont="1" applyBorder="1" applyAlignment="1">
      <alignment horizontal="center" vertical="center" wrapText="1"/>
    </xf>
    <xf numFmtId="0" fontId="226" fillId="0" borderId="7" xfId="0" applyFont="1" applyBorder="1" applyAlignment="1">
      <alignment horizontal="center" vertical="center" wrapText="1"/>
    </xf>
    <xf numFmtId="0" fontId="226" fillId="0" borderId="125" xfId="0" applyFont="1" applyBorder="1" applyAlignment="1">
      <alignment horizontal="center" vertical="center" wrapText="1"/>
    </xf>
    <xf numFmtId="0" fontId="226" fillId="0" borderId="126" xfId="0" applyFont="1" applyBorder="1" applyAlignment="1">
      <alignment horizontal="center" vertical="center" wrapText="1"/>
    </xf>
    <xf numFmtId="0" fontId="226" fillId="0" borderId="127" xfId="0" applyFont="1" applyBorder="1" applyAlignment="1">
      <alignment horizontal="center" vertical="center" wrapText="1"/>
    </xf>
    <xf numFmtId="213" fontId="225" fillId="0" borderId="0" xfId="0" applyNumberFormat="1" applyFont="1" applyAlignment="1">
      <alignment horizontal="center" vertical="center"/>
    </xf>
    <xf numFmtId="241" fontId="204" fillId="0" borderId="0" xfId="0" applyNumberFormat="1" applyFont="1" applyAlignment="1">
      <alignment horizontal="center" vertical="center" wrapText="1"/>
    </xf>
    <xf numFmtId="0" fontId="225" fillId="3" borderId="115" xfId="0" applyFont="1" applyFill="1" applyBorder="1" applyAlignment="1">
      <alignment horizontal="center" vertical="center" wrapText="1"/>
    </xf>
    <xf numFmtId="0" fontId="225" fillId="3" borderId="119" xfId="0" applyFont="1" applyFill="1" applyBorder="1" applyAlignment="1">
      <alignment horizontal="center" vertical="center"/>
    </xf>
    <xf numFmtId="0" fontId="226" fillId="0" borderId="97" xfId="0" applyFont="1" applyBorder="1" applyAlignment="1">
      <alignment horizontal="center" vertical="center" wrapText="1"/>
    </xf>
    <xf numFmtId="0" fontId="226" fillId="0" borderId="132" xfId="0" applyFont="1" applyBorder="1" applyAlignment="1">
      <alignment horizontal="center" vertical="center" wrapText="1"/>
    </xf>
    <xf numFmtId="0" fontId="226" fillId="0" borderId="0" xfId="0" applyFont="1" applyAlignment="1">
      <alignment horizontal="center" vertical="center" wrapText="1"/>
    </xf>
    <xf numFmtId="0" fontId="226" fillId="0" borderId="14" xfId="0" applyFont="1" applyBorder="1" applyAlignment="1">
      <alignment horizontal="center" vertical="center" wrapText="1"/>
    </xf>
    <xf numFmtId="0" fontId="226" fillId="0" borderId="35" xfId="0" applyFont="1" applyBorder="1" applyAlignment="1">
      <alignment horizontal="center" vertical="center" wrapText="1"/>
    </xf>
    <xf numFmtId="0" fontId="226" fillId="0" borderId="36" xfId="0" applyFont="1" applyBorder="1" applyAlignment="1">
      <alignment horizontal="center" vertical="center" wrapText="1"/>
    </xf>
    <xf numFmtId="0" fontId="226" fillId="0" borderId="96" xfId="0" applyFont="1" applyBorder="1" applyAlignment="1">
      <alignment horizontal="center" vertical="center" wrapText="1"/>
    </xf>
    <xf numFmtId="0" fontId="226" fillId="0" borderId="41" xfId="0" applyFont="1" applyBorder="1" applyAlignment="1">
      <alignment horizontal="center" vertical="center" wrapText="1"/>
    </xf>
    <xf numFmtId="0" fontId="226" fillId="0" borderId="34" xfId="0" applyFont="1" applyBorder="1" applyAlignment="1">
      <alignment horizontal="center" vertical="center" wrapText="1"/>
    </xf>
    <xf numFmtId="212" fontId="226" fillId="0" borderId="96" xfId="0" applyNumberFormat="1" applyFont="1" applyBorder="1" applyAlignment="1">
      <alignment horizontal="center" vertical="center"/>
    </xf>
    <xf numFmtId="212" fontId="226" fillId="0" borderId="97" xfId="0" applyNumberFormat="1" applyFont="1" applyBorder="1" applyAlignment="1">
      <alignment horizontal="center" vertical="center"/>
    </xf>
    <xf numFmtId="0" fontId="226" fillId="0" borderId="97" xfId="0" applyFont="1" applyBorder="1" applyAlignment="1">
      <alignment horizontal="center" vertical="center"/>
    </xf>
    <xf numFmtId="212" fontId="226" fillId="0" borderId="132" xfId="0" applyNumberFormat="1" applyFont="1" applyBorder="1" applyAlignment="1">
      <alignment horizontal="center" vertical="center"/>
    </xf>
    <xf numFmtId="212" fontId="226" fillId="0" borderId="14" xfId="0" applyNumberFormat="1" applyFont="1" applyBorder="1" applyAlignment="1">
      <alignment horizontal="center" vertical="center"/>
    </xf>
    <xf numFmtId="212" fontId="226" fillId="0" borderId="36" xfId="0" applyNumberFormat="1" applyFont="1" applyBorder="1" applyAlignment="1">
      <alignment horizontal="center" vertical="center"/>
    </xf>
    <xf numFmtId="176" fontId="76" fillId="0" borderId="5" xfId="0" applyNumberFormat="1" applyFont="1" applyBorder="1" applyAlignment="1">
      <alignment horizontal="center" vertical="center"/>
    </xf>
    <xf numFmtId="213" fontId="10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84" fontId="183" fillId="0" borderId="5" xfId="0" applyNumberFormat="1" applyFont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226" fillId="0" borderId="105" xfId="0" applyFont="1" applyBorder="1" applyAlignment="1">
      <alignment horizontal="center" vertical="center"/>
    </xf>
    <xf numFmtId="0" fontId="226" fillId="0" borderId="35" xfId="0" applyFont="1" applyBorder="1">
      <alignment vertical="center"/>
    </xf>
    <xf numFmtId="0" fontId="225" fillId="0" borderId="0" xfId="0" applyFont="1" applyAlignment="1">
      <alignment horizontal="center"/>
    </xf>
    <xf numFmtId="0" fontId="225" fillId="0" borderId="0" xfId="0" applyFont="1">
      <alignment vertical="center"/>
    </xf>
    <xf numFmtId="0" fontId="225" fillId="0" borderId="112" xfId="0" applyFont="1" applyBorder="1">
      <alignment vertical="center"/>
    </xf>
    <xf numFmtId="0" fontId="162" fillId="0" borderId="4" xfId="0" applyFont="1" applyBorder="1" applyAlignment="1">
      <alignment horizontal="center" vertical="center" wrapText="1"/>
    </xf>
    <xf numFmtId="0" fontId="162" fillId="0" borderId="5" xfId="0" applyFont="1" applyBorder="1" applyAlignment="1">
      <alignment horizontal="center" vertical="center" wrapText="1"/>
    </xf>
    <xf numFmtId="0" fontId="180" fillId="0" borderId="5" xfId="0" applyFont="1" applyBorder="1" applyAlignment="1">
      <alignment horizontal="center" vertical="center" wrapText="1"/>
    </xf>
    <xf numFmtId="3" fontId="180" fillId="0" borderId="5" xfId="0" applyNumberFormat="1" applyFont="1" applyBorder="1" applyAlignment="1">
      <alignment horizontal="center" vertical="center"/>
    </xf>
    <xf numFmtId="0" fontId="162" fillId="0" borderId="5" xfId="3" applyFont="1" applyBorder="1" applyAlignment="1">
      <alignment horizontal="center" vertical="center"/>
    </xf>
    <xf numFmtId="0" fontId="162" fillId="0" borderId="6" xfId="3" applyFont="1" applyBorder="1" applyAlignment="1">
      <alignment horizontal="center" vertical="center"/>
    </xf>
    <xf numFmtId="176" fontId="180" fillId="0" borderId="5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0" fillId="0" borderId="4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8" fillId="0" borderId="0" xfId="3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228" fontId="197" fillId="0" borderId="0" xfId="5" applyNumberFormat="1" applyFont="1" applyAlignment="1">
      <alignment horizontal="center" vertical="center"/>
    </xf>
    <xf numFmtId="0" fontId="20" fillId="0" borderId="41" xfId="0" applyFont="1" applyBorder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0" fillId="0" borderId="14" xfId="0" applyFont="1" applyBorder="1" applyAlignment="1">
      <alignment horizontal="left" vertical="center" indent="1"/>
    </xf>
    <xf numFmtId="181" fontId="21" fillId="0" borderId="0" xfId="0" applyNumberFormat="1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3" fontId="40" fillId="0" borderId="6" xfId="0" applyNumberFormat="1" applyFont="1" applyBorder="1" applyAlignment="1">
      <alignment horizontal="center" vertical="center"/>
    </xf>
    <xf numFmtId="3" fontId="40" fillId="0" borderId="95" xfId="0" applyNumberFormat="1" applyFont="1" applyBorder="1" applyAlignment="1">
      <alignment horizontal="center" vertical="center"/>
    </xf>
    <xf numFmtId="3" fontId="40" fillId="0" borderId="4" xfId="0" applyNumberFormat="1" applyFont="1" applyBorder="1" applyAlignment="1">
      <alignment horizontal="center" vertical="center"/>
    </xf>
    <xf numFmtId="3" fontId="145" fillId="9" borderId="6" xfId="0" applyNumberFormat="1" applyFont="1" applyFill="1" applyBorder="1" applyAlignment="1">
      <alignment horizontal="center" vertical="center" wrapText="1"/>
    </xf>
    <xf numFmtId="3" fontId="145" fillId="9" borderId="95" xfId="0" applyNumberFormat="1" applyFont="1" applyFill="1" applyBorder="1" applyAlignment="1">
      <alignment horizontal="center" vertical="center" wrapText="1"/>
    </xf>
    <xf numFmtId="0" fontId="23" fillId="3" borderId="1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54" fillId="3" borderId="2" xfId="5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/>
    </xf>
    <xf numFmtId="0" fontId="40" fillId="0" borderId="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1"/>
    </xf>
    <xf numFmtId="0" fontId="20" fillId="0" borderId="39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15" fillId="3" borderId="1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42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95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 wrapText="1"/>
    </xf>
    <xf numFmtId="0" fontId="22" fillId="2" borderId="50" xfId="0" applyFont="1" applyFill="1" applyBorder="1" applyAlignment="1">
      <alignment horizontal="center" vertical="center" wrapText="1"/>
    </xf>
    <xf numFmtId="0" fontId="22" fillId="2" borderId="51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170" fillId="0" borderId="56" xfId="0" applyFont="1" applyBorder="1" applyAlignment="1">
      <alignment horizontal="center" vertical="center" wrapText="1"/>
    </xf>
    <xf numFmtId="0" fontId="170" fillId="0" borderId="49" xfId="0" applyFont="1" applyBorder="1" applyAlignment="1">
      <alignment horizontal="center" vertical="center" wrapText="1"/>
    </xf>
    <xf numFmtId="176" fontId="178" fillId="9" borderId="18" xfId="0" applyNumberFormat="1" applyFont="1" applyFill="1" applyBorder="1" applyAlignment="1">
      <alignment horizontal="center" vertical="center" wrapText="1"/>
    </xf>
    <xf numFmtId="176" fontId="178" fillId="9" borderId="56" xfId="0" applyNumberFormat="1" applyFont="1" applyFill="1" applyBorder="1" applyAlignment="1">
      <alignment horizontal="center" vertical="center" wrapText="1"/>
    </xf>
    <xf numFmtId="176" fontId="178" fillId="9" borderId="49" xfId="0" applyNumberFormat="1" applyFont="1" applyFill="1" applyBorder="1" applyAlignment="1">
      <alignment horizontal="center" vertical="center" wrapText="1"/>
    </xf>
    <xf numFmtId="2" fontId="178" fillId="9" borderId="18" xfId="0" applyNumberFormat="1" applyFont="1" applyFill="1" applyBorder="1" applyAlignment="1">
      <alignment horizontal="center" vertical="center" wrapText="1"/>
    </xf>
    <xf numFmtId="0" fontId="178" fillId="9" borderId="56" xfId="0" applyFont="1" applyFill="1" applyBorder="1" applyAlignment="1">
      <alignment horizontal="center" vertical="center" wrapText="1"/>
    </xf>
    <xf numFmtId="0" fontId="178" fillId="9" borderId="49" xfId="0" applyFont="1" applyFill="1" applyBorder="1" applyAlignment="1">
      <alignment horizontal="center" vertical="center" wrapText="1"/>
    </xf>
    <xf numFmtId="0" fontId="178" fillId="0" borderId="18" xfId="0" applyFont="1" applyBorder="1" applyAlignment="1">
      <alignment horizontal="center" vertical="center"/>
    </xf>
    <xf numFmtId="0" fontId="178" fillId="0" borderId="56" xfId="0" applyFont="1" applyBorder="1" applyAlignment="1">
      <alignment horizontal="center" vertical="center"/>
    </xf>
    <xf numFmtId="0" fontId="178" fillId="0" borderId="49" xfId="0" applyFont="1" applyBorder="1" applyAlignment="1">
      <alignment horizontal="center" vertical="center"/>
    </xf>
    <xf numFmtId="0" fontId="178" fillId="9" borderId="47" xfId="0" applyFont="1" applyFill="1" applyBorder="1" applyAlignment="1">
      <alignment horizontal="center" vertical="center" wrapText="1"/>
    </xf>
    <xf numFmtId="0" fontId="178" fillId="9" borderId="35" xfId="0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top"/>
    </xf>
    <xf numFmtId="0" fontId="23" fillId="3" borderId="50" xfId="3" applyFont="1" applyFill="1" applyBorder="1" applyAlignment="1">
      <alignment horizontal="center" vertical="top"/>
    </xf>
    <xf numFmtId="0" fontId="25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36" fillId="3" borderId="5" xfId="0" applyFont="1" applyFill="1" applyBorder="1" applyAlignment="1">
      <alignment horizontal="center" vertical="center" wrapText="1"/>
    </xf>
    <xf numFmtId="0" fontId="222" fillId="3" borderId="27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top" wrapText="1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indent="1"/>
    </xf>
    <xf numFmtId="0" fontId="20" fillId="0" borderId="8" xfId="0" applyFont="1" applyBorder="1" applyAlignment="1">
      <alignment horizontal="left" vertical="center" indent="1"/>
    </xf>
    <xf numFmtId="0" fontId="20" fillId="0" borderId="40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indent="1"/>
    </xf>
    <xf numFmtId="0" fontId="20" fillId="0" borderId="35" xfId="0" applyFont="1" applyBorder="1" applyAlignment="1">
      <alignment horizontal="left" vertical="center" indent="1"/>
    </xf>
    <xf numFmtId="0" fontId="20" fillId="0" borderId="36" xfId="0" applyFont="1" applyBorder="1" applyAlignment="1">
      <alignment horizontal="left" vertical="center" inden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wrapText="1"/>
    </xf>
    <xf numFmtId="0" fontId="15" fillId="3" borderId="11" xfId="0" applyFont="1" applyFill="1" applyBorder="1" applyAlignment="1">
      <alignment horizontal="center" wrapText="1"/>
    </xf>
    <xf numFmtId="0" fontId="22" fillId="3" borderId="27" xfId="0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0" fontId="22" fillId="3" borderId="10" xfId="0" applyFont="1" applyFill="1" applyBorder="1" applyAlignment="1">
      <alignment horizontal="center" wrapText="1"/>
    </xf>
    <xf numFmtId="0" fontId="22" fillId="3" borderId="9" xfId="0" applyFont="1" applyFill="1" applyBorder="1" applyAlignment="1">
      <alignment horizontal="center" wrapText="1"/>
    </xf>
    <xf numFmtId="0" fontId="219" fillId="3" borderId="52" xfId="0" applyFont="1" applyFill="1" applyBorder="1" applyAlignment="1">
      <alignment horizontal="center" vertical="center" wrapText="1"/>
    </xf>
    <xf numFmtId="0" fontId="92" fillId="3" borderId="5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220" fillId="3" borderId="52" xfId="0" applyFont="1" applyFill="1" applyBorder="1" applyAlignment="1">
      <alignment horizontal="center" vertical="center" wrapText="1"/>
    </xf>
    <xf numFmtId="0" fontId="220" fillId="3" borderId="50" xfId="0" applyFont="1" applyFill="1" applyBorder="1" applyAlignment="1">
      <alignment horizontal="center" vertical="center" wrapText="1"/>
    </xf>
    <xf numFmtId="0" fontId="220" fillId="3" borderId="51" xfId="0" applyFont="1" applyFill="1" applyBorder="1" applyAlignment="1">
      <alignment horizontal="center" vertical="center" wrapText="1"/>
    </xf>
    <xf numFmtId="0" fontId="179" fillId="9" borderId="95" xfId="0" applyFont="1" applyFill="1" applyBorder="1" applyAlignment="1">
      <alignment horizontal="center" vertical="center" wrapText="1"/>
    </xf>
    <xf numFmtId="0" fontId="13" fillId="3" borderId="18" xfId="3" applyFont="1" applyFill="1" applyBorder="1" applyAlignment="1">
      <alignment horizontal="center" vertical="center"/>
    </xf>
    <xf numFmtId="0" fontId="13" fillId="3" borderId="56" xfId="3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/>
    </xf>
    <xf numFmtId="0" fontId="41" fillId="3" borderId="49" xfId="0" applyFont="1" applyFill="1" applyBorder="1" applyAlignment="1">
      <alignment horizontal="center" vertical="center" wrapText="1"/>
    </xf>
    <xf numFmtId="2" fontId="41" fillId="3" borderId="17" xfId="0" applyNumberFormat="1" applyFont="1" applyFill="1" applyBorder="1" applyAlignment="1">
      <alignment horizontal="center" vertical="center" wrapText="1"/>
    </xf>
    <xf numFmtId="0" fontId="13" fillId="3" borderId="17" xfId="3" applyFont="1" applyFill="1" applyBorder="1">
      <alignment vertical="center"/>
    </xf>
    <xf numFmtId="0" fontId="12" fillId="3" borderId="17" xfId="3" applyFont="1" applyFill="1" applyBorder="1" applyAlignment="1">
      <alignment horizontal="left" vertical="center"/>
    </xf>
    <xf numFmtId="0" fontId="30" fillId="3" borderId="17" xfId="0" applyFont="1" applyFill="1" applyBorder="1" applyAlignment="1">
      <alignment horizontal="center" vertical="center" wrapText="1"/>
    </xf>
    <xf numFmtId="0" fontId="211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177" fontId="110" fillId="0" borderId="0" xfId="4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86" fillId="0" borderId="31" xfId="0" applyFont="1" applyBorder="1" applyAlignment="1">
      <alignment horizontal="center" vertical="center"/>
    </xf>
    <xf numFmtId="0" fontId="186" fillId="0" borderId="39" xfId="0" applyFont="1" applyBorder="1" applyAlignment="1">
      <alignment horizontal="center" vertical="center"/>
    </xf>
    <xf numFmtId="0" fontId="186" fillId="0" borderId="32" xfId="0" applyFont="1" applyBorder="1" applyAlignment="1">
      <alignment horizontal="center" vertical="center"/>
    </xf>
    <xf numFmtId="3" fontId="199" fillId="5" borderId="56" xfId="1" applyNumberFormat="1" applyFont="1" applyFill="1" applyBorder="1" applyAlignment="1">
      <alignment horizontal="right" vertical="center"/>
    </xf>
    <xf numFmtId="3" fontId="199" fillId="5" borderId="49" xfId="1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3" fontId="8" fillId="0" borderId="48" xfId="0" applyNumberFormat="1" applyFont="1" applyBorder="1" applyAlignment="1">
      <alignment horizontal="center" vertical="center"/>
    </xf>
    <xf numFmtId="3" fontId="8" fillId="0" borderId="46" xfId="0" applyNumberFormat="1" applyFont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" fontId="59" fillId="0" borderId="0" xfId="0" applyNumberFormat="1" applyFont="1" applyAlignment="1">
      <alignment horizontal="center" vertical="center"/>
    </xf>
    <xf numFmtId="0" fontId="68" fillId="11" borderId="92" xfId="5" applyFont="1" applyFill="1" applyBorder="1" applyAlignment="1">
      <alignment horizontal="center" vertical="center" wrapText="1"/>
    </xf>
    <xf numFmtId="186" fontId="201" fillId="0" borderId="92" xfId="1" applyNumberFormat="1" applyFont="1" applyFill="1" applyBorder="1" applyAlignment="1">
      <alignment horizontal="center" vertical="center"/>
    </xf>
    <xf numFmtId="0" fontId="201" fillId="0" borderId="92" xfId="5" applyFont="1" applyBorder="1" applyAlignment="1">
      <alignment horizontal="center" vertical="center"/>
    </xf>
    <xf numFmtId="0" fontId="201" fillId="0" borderId="53" xfId="5" applyFont="1" applyBorder="1" applyAlignment="1">
      <alignment horizontal="center" vertical="center"/>
    </xf>
    <xf numFmtId="0" fontId="68" fillId="11" borderId="92" xfId="5" applyFont="1" applyFill="1" applyBorder="1" applyAlignment="1">
      <alignment horizontal="center" vertical="center"/>
    </xf>
    <xf numFmtId="0" fontId="68" fillId="11" borderId="53" xfId="5" applyFont="1" applyFill="1" applyBorder="1" applyAlignment="1">
      <alignment horizontal="center" vertical="center"/>
    </xf>
    <xf numFmtId="3" fontId="76" fillId="0" borderId="5" xfId="0" applyNumberFormat="1" applyFont="1" applyBorder="1" applyAlignment="1">
      <alignment horizontal="center" vertical="center"/>
    </xf>
    <xf numFmtId="179" fontId="35" fillId="0" borderId="0" xfId="4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8" fillId="0" borderId="48" xfId="0" applyNumberFormat="1" applyFont="1" applyBorder="1" applyAlignment="1">
      <alignment horizontal="center" vertical="center"/>
    </xf>
    <xf numFmtId="3" fontId="58" fillId="0" borderId="46" xfId="0" applyNumberFormat="1" applyFont="1" applyBorder="1" applyAlignment="1">
      <alignment horizontal="center" vertical="center"/>
    </xf>
    <xf numFmtId="3" fontId="58" fillId="0" borderId="42" xfId="0" applyNumberFormat="1" applyFont="1" applyBorder="1" applyAlignment="1">
      <alignment horizontal="center" vertical="center"/>
    </xf>
    <xf numFmtId="2" fontId="53" fillId="0" borderId="0" xfId="5" applyNumberFormat="1" applyFont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/>
    </xf>
    <xf numFmtId="0" fontId="26" fillId="0" borderId="32" xfId="3" applyFont="1" applyBorder="1" applyAlignment="1">
      <alignment horizontal="center" vertical="center"/>
    </xf>
    <xf numFmtId="0" fontId="7" fillId="3" borderId="17" xfId="3" applyFont="1" applyFill="1" applyBorder="1">
      <alignment vertical="center"/>
    </xf>
    <xf numFmtId="0" fontId="53" fillId="0" borderId="95" xfId="3" applyFont="1" applyBorder="1" applyAlignment="1">
      <alignment horizontal="center" vertical="center"/>
    </xf>
    <xf numFmtId="0" fontId="53" fillId="0" borderId="6" xfId="0" applyFont="1" applyBorder="1" applyAlignment="1">
      <alignment horizontal="left" vertical="center" indent="1"/>
    </xf>
    <xf numFmtId="0" fontId="53" fillId="0" borderId="95" xfId="0" applyFont="1" applyBorder="1" applyAlignment="1">
      <alignment horizontal="left" vertical="center" indent="1"/>
    </xf>
    <xf numFmtId="0" fontId="53" fillId="0" borderId="4" xfId="0" applyFont="1" applyBorder="1" applyAlignment="1">
      <alignment horizontal="left" vertical="center" indent="1"/>
    </xf>
    <xf numFmtId="0" fontId="53" fillId="0" borderId="95" xfId="5" applyFont="1" applyBorder="1" applyAlignment="1">
      <alignment horizontal="center" vertical="center"/>
    </xf>
    <xf numFmtId="0" fontId="53" fillId="0" borderId="4" xfId="5" applyFont="1" applyBorder="1" applyAlignment="1">
      <alignment horizontal="center" vertical="center"/>
    </xf>
    <xf numFmtId="0" fontId="53" fillId="0" borderId="0" xfId="5" quotePrefix="1" applyFont="1" applyAlignment="1">
      <alignment horizontal="center" vertical="center"/>
    </xf>
    <xf numFmtId="0" fontId="53" fillId="0" borderId="0" xfId="3" quotePrefix="1" applyFont="1" applyAlignment="1">
      <alignment horizontal="center" vertical="center"/>
    </xf>
    <xf numFmtId="206" fontId="53" fillId="0" borderId="0" xfId="1" applyNumberFormat="1" applyFont="1" applyFill="1" applyBorder="1" applyAlignment="1">
      <alignment horizontal="center" vertical="center"/>
    </xf>
    <xf numFmtId="0" fontId="53" fillId="0" borderId="6" xfId="5" applyFont="1" applyBorder="1" applyAlignment="1">
      <alignment horizontal="center" vertical="center"/>
    </xf>
    <xf numFmtId="0" fontId="3" fillId="0" borderId="56" xfId="3" applyBorder="1" applyAlignment="1">
      <alignment horizontal="center" vertical="center"/>
    </xf>
    <xf numFmtId="0" fontId="3" fillId="0" borderId="49" xfId="3" applyBorder="1" applyAlignment="1">
      <alignment horizontal="center" vertical="center"/>
    </xf>
    <xf numFmtId="0" fontId="3" fillId="0" borderId="47" xfId="5" applyBorder="1" applyAlignment="1">
      <alignment horizontal="center" vertical="center"/>
    </xf>
    <xf numFmtId="0" fontId="3" fillId="0" borderId="35" xfId="5" applyBorder="1" applyAlignment="1">
      <alignment horizontal="center" vertical="center"/>
    </xf>
    <xf numFmtId="0" fontId="3" fillId="0" borderId="15" xfId="5" applyBorder="1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3" fillId="3" borderId="55" xfId="3" applyFill="1" applyBorder="1" applyAlignment="1">
      <alignment horizontal="center" vertical="center"/>
    </xf>
    <xf numFmtId="0" fontId="3" fillId="3" borderId="1" xfId="3" applyFill="1" applyBorder="1" applyAlignment="1">
      <alignment horizontal="center" vertical="center"/>
    </xf>
    <xf numFmtId="0" fontId="3" fillId="3" borderId="10" xfId="5" applyFill="1" applyBorder="1" applyAlignment="1">
      <alignment horizontal="center" vertical="center"/>
    </xf>
    <xf numFmtId="0" fontId="3" fillId="3" borderId="8" xfId="5" applyFill="1" applyBorder="1" applyAlignment="1">
      <alignment horizontal="center" vertical="center"/>
    </xf>
    <xf numFmtId="0" fontId="3" fillId="3" borderId="9" xfId="5" applyFill="1" applyBorder="1" applyAlignment="1">
      <alignment horizontal="center" vertical="center"/>
    </xf>
    <xf numFmtId="0" fontId="3" fillId="3" borderId="3" xfId="5" applyFill="1" applyBorder="1" applyAlignment="1">
      <alignment horizontal="center" vertical="center"/>
    </xf>
    <xf numFmtId="0" fontId="3" fillId="3" borderId="55" xfId="5" applyFill="1" applyBorder="1" applyAlignment="1">
      <alignment horizontal="center" vertical="center"/>
    </xf>
    <xf numFmtId="0" fontId="3" fillId="3" borderId="1" xfId="5" applyFill="1" applyBorder="1" applyAlignment="1">
      <alignment horizontal="center" vertical="center"/>
    </xf>
    <xf numFmtId="0" fontId="3" fillId="0" borderId="18" xfId="5" applyBorder="1" applyAlignment="1">
      <alignment horizontal="center" vertical="center"/>
    </xf>
    <xf numFmtId="0" fontId="3" fillId="0" borderId="56" xfId="5" applyBorder="1" applyAlignment="1">
      <alignment horizontal="center" vertical="center"/>
    </xf>
    <xf numFmtId="0" fontId="3" fillId="0" borderId="49" xfId="5" applyBorder="1" applyAlignment="1">
      <alignment horizontal="center" vertical="center"/>
    </xf>
    <xf numFmtId="0" fontId="68" fillId="11" borderId="92" xfId="3" applyFont="1" applyFill="1" applyBorder="1" applyAlignment="1">
      <alignment horizontal="center" vertical="center" wrapText="1"/>
    </xf>
    <xf numFmtId="0" fontId="68" fillId="11" borderId="92" xfId="3" applyFont="1" applyFill="1" applyBorder="1" applyAlignment="1">
      <alignment horizontal="center" vertical="center"/>
    </xf>
    <xf numFmtId="225" fontId="53" fillId="0" borderId="8" xfId="3" applyNumberFormat="1" applyFont="1" applyBorder="1" applyAlignment="1">
      <alignment horizontal="center" vertical="center"/>
    </xf>
    <xf numFmtId="226" fontId="53" fillId="0" borderId="8" xfId="5" applyNumberFormat="1" applyFont="1" applyBorder="1" applyAlignment="1">
      <alignment horizontal="center" vertical="center"/>
    </xf>
    <xf numFmtId="0" fontId="168" fillId="0" borderId="54" xfId="3" applyFont="1" applyBorder="1" applyAlignment="1">
      <alignment horizontal="center" vertical="center" wrapText="1"/>
    </xf>
    <xf numFmtId="0" fontId="168" fillId="0" borderId="92" xfId="3" applyFont="1" applyBorder="1" applyAlignment="1">
      <alignment horizontal="center" vertical="center" wrapText="1"/>
    </xf>
    <xf numFmtId="0" fontId="68" fillId="11" borderId="54" xfId="3" applyFont="1" applyFill="1" applyBorder="1" applyAlignment="1">
      <alignment horizontal="center" vertical="center"/>
    </xf>
    <xf numFmtId="0" fontId="181" fillId="0" borderId="0" xfId="0" applyFont="1" applyAlignment="1">
      <alignment horizontal="center" vertical="center"/>
    </xf>
    <xf numFmtId="4" fontId="3" fillId="0" borderId="0" xfId="3" applyNumberFormat="1" applyAlignment="1">
      <alignment horizontal="center" vertical="center"/>
    </xf>
    <xf numFmtId="4" fontId="169" fillId="0" borderId="0" xfId="3" applyNumberFormat="1" applyFont="1" applyAlignment="1">
      <alignment horizontal="center" vertical="center"/>
    </xf>
    <xf numFmtId="0" fontId="169" fillId="0" borderId="0" xfId="3" applyFont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0" borderId="95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4" fontId="10" fillId="0" borderId="0" xfId="3" applyNumberFormat="1" applyFont="1" applyAlignment="1">
      <alignment horizontal="center" vertical="center"/>
    </xf>
    <xf numFmtId="0" fontId="78" fillId="0" borderId="17" xfId="0" applyFont="1" applyBorder="1" applyAlignment="1">
      <alignment horizontal="center" vertical="center"/>
    </xf>
    <xf numFmtId="0" fontId="80" fillId="3" borderId="17" xfId="0" applyFont="1" applyFill="1" applyBorder="1" applyAlignment="1">
      <alignment horizontal="center" vertical="center"/>
    </xf>
    <xf numFmtId="0" fontId="7" fillId="3" borderId="17" xfId="3" applyFont="1" applyFill="1" applyBorder="1" applyAlignment="1">
      <alignment horizontal="center" vertical="center"/>
    </xf>
    <xf numFmtId="0" fontId="7" fillId="3" borderId="18" xfId="3" applyFont="1" applyFill="1" applyBorder="1" applyAlignment="1">
      <alignment horizontal="center" vertical="center"/>
    </xf>
    <xf numFmtId="0" fontId="171" fillId="0" borderId="0" xfId="3" applyFont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0" fontId="10" fillId="3" borderId="3" xfId="3" applyFont="1" applyFill="1" applyBorder="1" applyAlignment="1">
      <alignment horizontal="center" vertical="center"/>
    </xf>
    <xf numFmtId="0" fontId="10" fillId="3" borderId="55" xfId="3" applyFont="1" applyFill="1" applyBorder="1" applyAlignment="1">
      <alignment horizontal="center" vertical="center"/>
    </xf>
    <xf numFmtId="0" fontId="10" fillId="3" borderId="52" xfId="3" applyFont="1" applyFill="1" applyBorder="1" applyAlignment="1">
      <alignment horizontal="center" vertical="center"/>
    </xf>
    <xf numFmtId="0" fontId="10" fillId="3" borderId="50" xfId="3" applyFont="1" applyFill="1" applyBorder="1" applyAlignment="1">
      <alignment horizontal="center" vertical="center"/>
    </xf>
    <xf numFmtId="185" fontId="10" fillId="0" borderId="0" xfId="3" applyNumberFormat="1" applyFont="1" applyAlignment="1">
      <alignment horizontal="center" vertical="center"/>
    </xf>
    <xf numFmtId="0" fontId="74" fillId="3" borderId="2" xfId="0" applyFont="1" applyFill="1" applyBorder="1" applyAlignment="1">
      <alignment horizontal="center" vertical="center" wrapText="1"/>
    </xf>
    <xf numFmtId="0" fontId="74" fillId="3" borderId="3" xfId="0" applyFont="1" applyFill="1" applyBorder="1" applyAlignment="1">
      <alignment horizontal="center" vertical="center" wrapText="1"/>
    </xf>
    <xf numFmtId="0" fontId="74" fillId="3" borderId="5" xfId="0" applyFont="1" applyFill="1" applyBorder="1" applyAlignment="1">
      <alignment horizontal="center" vertical="center" wrapText="1"/>
    </xf>
    <xf numFmtId="0" fontId="74" fillId="3" borderId="6" xfId="0" applyFont="1" applyFill="1" applyBorder="1" applyAlignment="1">
      <alignment horizontal="center" vertical="center" wrapText="1"/>
    </xf>
    <xf numFmtId="0" fontId="72" fillId="3" borderId="5" xfId="0" applyFont="1" applyFill="1" applyBorder="1" applyAlignment="1">
      <alignment horizontal="center" vertical="center"/>
    </xf>
    <xf numFmtId="0" fontId="73" fillId="3" borderId="2" xfId="3" applyFont="1" applyFill="1" applyBorder="1" applyAlignment="1">
      <alignment horizontal="center" vertical="center"/>
    </xf>
    <xf numFmtId="0" fontId="73" fillId="3" borderId="3" xfId="3" applyFont="1" applyFill="1" applyBorder="1" applyAlignment="1">
      <alignment horizontal="center" vertical="center"/>
    </xf>
    <xf numFmtId="0" fontId="73" fillId="3" borderId="5" xfId="3" applyFont="1" applyFill="1" applyBorder="1" applyAlignment="1">
      <alignment horizontal="center" vertical="center"/>
    </xf>
    <xf numFmtId="0" fontId="73" fillId="3" borderId="6" xfId="3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center" vertical="center"/>
    </xf>
    <xf numFmtId="180" fontId="78" fillId="0" borderId="6" xfId="0" applyNumberFormat="1" applyFont="1" applyBorder="1" applyAlignment="1">
      <alignment horizontal="center" vertical="center"/>
    </xf>
    <xf numFmtId="180" fontId="78" fillId="0" borderId="95" xfId="0" applyNumberFormat="1" applyFont="1" applyBorder="1" applyAlignment="1">
      <alignment horizontal="center" vertical="center"/>
    </xf>
    <xf numFmtId="180" fontId="78" fillId="0" borderId="4" xfId="0" applyNumberFormat="1" applyFont="1" applyBorder="1" applyAlignment="1">
      <alignment horizontal="center" vertical="center"/>
    </xf>
    <xf numFmtId="0" fontId="194" fillId="0" borderId="5" xfId="0" applyFont="1" applyBorder="1" applyAlignment="1">
      <alignment horizontal="center" vertical="center"/>
    </xf>
    <xf numFmtId="0" fontId="195" fillId="0" borderId="5" xfId="0" applyFont="1" applyBorder="1" applyAlignment="1">
      <alignment horizontal="center" vertical="center"/>
    </xf>
    <xf numFmtId="0" fontId="73" fillId="3" borderId="17" xfId="3" applyFont="1" applyFill="1" applyBorder="1" applyAlignment="1">
      <alignment horizontal="left" vertical="center"/>
    </xf>
    <xf numFmtId="176" fontId="56" fillId="3" borderId="17" xfId="0" applyNumberFormat="1" applyFont="1" applyFill="1" applyBorder="1" applyAlignment="1">
      <alignment horizontal="center" vertical="center" wrapText="1"/>
    </xf>
    <xf numFmtId="0" fontId="56" fillId="3" borderId="17" xfId="0" applyFont="1" applyFill="1" applyBorder="1" applyAlignment="1">
      <alignment horizontal="center" vertical="center" wrapText="1"/>
    </xf>
    <xf numFmtId="0" fontId="76" fillId="3" borderId="17" xfId="0" applyFont="1" applyFill="1" applyBorder="1" applyAlignment="1">
      <alignment horizontal="center" vertical="center" wrapText="1"/>
    </xf>
    <xf numFmtId="0" fontId="26" fillId="0" borderId="0" xfId="3" applyFont="1" applyAlignment="1">
      <alignment horizontal="center" vertical="center"/>
    </xf>
    <xf numFmtId="186" fontId="3" fillId="0" borderId="18" xfId="5" applyNumberFormat="1" applyBorder="1" applyAlignment="1">
      <alignment horizontal="center" vertical="center"/>
    </xf>
    <xf numFmtId="186" fontId="3" fillId="0" borderId="56" xfId="5" applyNumberFormat="1" applyBorder="1" applyAlignment="1">
      <alignment horizontal="center" vertical="center"/>
    </xf>
    <xf numFmtId="186" fontId="3" fillId="0" borderId="49" xfId="5" applyNumberFormat="1" applyBorder="1" applyAlignment="1">
      <alignment horizontal="center" vertical="center"/>
    </xf>
    <xf numFmtId="213" fontId="3" fillId="0" borderId="18" xfId="5" applyNumberFormat="1" applyBorder="1" applyAlignment="1">
      <alignment horizontal="center" vertical="center"/>
    </xf>
    <xf numFmtId="2" fontId="3" fillId="0" borderId="18" xfId="5" applyNumberFormat="1" applyBorder="1" applyAlignment="1">
      <alignment horizontal="center" vertical="center"/>
    </xf>
    <xf numFmtId="2" fontId="3" fillId="0" borderId="56" xfId="5" applyNumberFormat="1" applyBorder="1" applyAlignment="1">
      <alignment horizontal="center" vertical="center"/>
    </xf>
    <xf numFmtId="2" fontId="3" fillId="0" borderId="49" xfId="5" applyNumberFormat="1" applyBorder="1" applyAlignment="1">
      <alignment horizontal="center" vertical="center"/>
    </xf>
    <xf numFmtId="0" fontId="54" fillId="3" borderId="3" xfId="5" applyFont="1" applyFill="1" applyBorder="1" applyAlignment="1">
      <alignment horizontal="center" vertical="center"/>
    </xf>
    <xf numFmtId="0" fontId="54" fillId="3" borderId="55" xfId="5" applyFont="1" applyFill="1" applyBorder="1" applyAlignment="1">
      <alignment horizontal="center" vertical="center"/>
    </xf>
    <xf numFmtId="0" fontId="54" fillId="3" borderId="1" xfId="5" applyFont="1" applyFill="1" applyBorder="1" applyAlignment="1">
      <alignment horizontal="center" vertical="center"/>
    </xf>
    <xf numFmtId="0" fontId="84" fillId="7" borderId="0" xfId="3" applyFont="1" applyFill="1" applyAlignment="1">
      <alignment horizontal="center" vertical="center"/>
    </xf>
    <xf numFmtId="222" fontId="95" fillId="7" borderId="0" xfId="3" applyNumberFormat="1" applyFont="1" applyFill="1" applyAlignment="1">
      <alignment horizontal="center" vertical="center"/>
    </xf>
    <xf numFmtId="0" fontId="3" fillId="0" borderId="0" xfId="3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103" fillId="0" borderId="35" xfId="3" applyFont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2" fontId="39" fillId="0" borderId="15" xfId="3" applyNumberFormat="1" applyFont="1" applyBorder="1" applyAlignment="1">
      <alignment horizontal="center" vertical="center"/>
    </xf>
    <xf numFmtId="2" fontId="39" fillId="0" borderId="16" xfId="3" applyNumberFormat="1" applyFont="1" applyBorder="1" applyAlignment="1">
      <alignment horizontal="center" vertical="center"/>
    </xf>
    <xf numFmtId="176" fontId="10" fillId="0" borderId="47" xfId="3" applyNumberFormat="1" applyFont="1" applyBorder="1" applyAlignment="1">
      <alignment horizontal="center" vertical="center"/>
    </xf>
    <xf numFmtId="176" fontId="10" fillId="0" borderId="35" xfId="3" applyNumberFormat="1" applyFont="1" applyBorder="1" applyAlignment="1">
      <alignment horizontal="center" vertical="center"/>
    </xf>
    <xf numFmtId="176" fontId="10" fillId="0" borderId="15" xfId="3" applyNumberFormat="1" applyFont="1" applyBorder="1" applyAlignment="1">
      <alignment horizontal="center" vertical="center"/>
    </xf>
    <xf numFmtId="176" fontId="3" fillId="0" borderId="49" xfId="3" applyNumberFormat="1" applyBorder="1" applyAlignment="1">
      <alignment horizontal="center" vertical="center"/>
    </xf>
    <xf numFmtId="176" fontId="3" fillId="0" borderId="17" xfId="3" applyNumberFormat="1" applyBorder="1" applyAlignment="1">
      <alignment horizontal="center" vertical="center"/>
    </xf>
    <xf numFmtId="231" fontId="21" fillId="0" borderId="6" xfId="4" applyNumberFormat="1" applyFont="1" applyBorder="1" applyAlignment="1">
      <alignment horizontal="center" vertical="center"/>
    </xf>
    <xf numFmtId="231" fontId="21" fillId="0" borderId="4" xfId="4" applyNumberFormat="1" applyFont="1" applyBorder="1" applyAlignment="1">
      <alignment horizontal="center" vertical="center"/>
    </xf>
    <xf numFmtId="238" fontId="21" fillId="0" borderId="52" xfId="4" applyNumberFormat="1" applyFont="1" applyBorder="1" applyAlignment="1">
      <alignment horizontal="center" vertical="center"/>
    </xf>
    <xf numFmtId="238" fontId="21" fillId="0" borderId="101" xfId="4" applyNumberFormat="1" applyFont="1" applyBorder="1" applyAlignment="1">
      <alignment horizontal="center" vertical="center"/>
    </xf>
    <xf numFmtId="213" fontId="3" fillId="0" borderId="17" xfId="5" applyNumberFormat="1" applyBorder="1" applyAlignment="1">
      <alignment horizontal="center" vertical="center"/>
    </xf>
    <xf numFmtId="0" fontId="3" fillId="0" borderId="17" xfId="5" applyBorder="1" applyAlignment="1">
      <alignment horizontal="center" vertical="center"/>
    </xf>
    <xf numFmtId="2" fontId="3" fillId="0" borderId="17" xfId="5" applyNumberFormat="1" applyBorder="1" applyAlignment="1">
      <alignment horizontal="center" vertical="center"/>
    </xf>
    <xf numFmtId="0" fontId="165" fillId="3" borderId="2" xfId="5" applyFont="1" applyFill="1" applyBorder="1" applyAlignment="1">
      <alignment horizontal="center" vertical="center"/>
    </xf>
    <xf numFmtId="176" fontId="3" fillId="0" borderId="17" xfId="5" applyNumberFormat="1" applyBorder="1" applyAlignment="1">
      <alignment horizontal="center" vertical="center"/>
    </xf>
    <xf numFmtId="0" fontId="23" fillId="3" borderId="2" xfId="5" applyFont="1" applyFill="1" applyBorder="1" applyAlignment="1">
      <alignment horizontal="center" vertical="center"/>
    </xf>
    <xf numFmtId="0" fontId="17" fillId="4" borderId="12" xfId="4" applyFont="1" applyFill="1" applyBorder="1" applyAlignment="1">
      <alignment horizontal="center" vertical="center"/>
    </xf>
    <xf numFmtId="0" fontId="17" fillId="4" borderId="100" xfId="4" applyFont="1" applyFill="1" applyBorder="1" applyAlignment="1">
      <alignment horizontal="center" vertical="center"/>
    </xf>
    <xf numFmtId="0" fontId="119" fillId="0" borderId="35" xfId="0" applyFont="1" applyBorder="1" applyAlignment="1">
      <alignment horizontal="center" vertical="center"/>
    </xf>
    <xf numFmtId="0" fontId="21" fillId="4" borderId="96" xfId="4" applyFont="1" applyFill="1" applyBorder="1" applyAlignment="1">
      <alignment horizontal="center" vertical="center"/>
    </xf>
    <xf numFmtId="0" fontId="21" fillId="4" borderId="97" xfId="4" applyFont="1" applyFill="1" applyBorder="1" applyAlignment="1">
      <alignment horizontal="center" vertical="center"/>
    </xf>
    <xf numFmtId="0" fontId="21" fillId="4" borderId="98" xfId="4" applyFont="1" applyFill="1" applyBorder="1" applyAlignment="1">
      <alignment horizontal="center" vertical="center"/>
    </xf>
    <xf numFmtId="0" fontId="21" fillId="4" borderId="41" xfId="4" applyFont="1" applyFill="1" applyBorder="1" applyAlignment="1">
      <alignment horizontal="center" vertical="center"/>
    </xf>
    <xf numFmtId="0" fontId="21" fillId="4" borderId="0" xfId="4" applyFont="1" applyFill="1" applyAlignment="1">
      <alignment horizontal="center" vertical="center"/>
    </xf>
    <xf numFmtId="0" fontId="21" fillId="4" borderId="48" xfId="4" applyFont="1" applyFill="1" applyBorder="1" applyAlignment="1">
      <alignment horizontal="center" vertical="center"/>
    </xf>
    <xf numFmtId="0" fontId="21" fillId="4" borderId="99" xfId="4" applyFont="1" applyFill="1" applyBorder="1" applyAlignment="1">
      <alignment horizontal="center" vertical="center"/>
    </xf>
    <xf numFmtId="0" fontId="21" fillId="4" borderId="50" xfId="4" applyFont="1" applyFill="1" applyBorder="1" applyAlignment="1">
      <alignment horizontal="center" vertical="center"/>
    </xf>
    <xf numFmtId="0" fontId="21" fillId="4" borderId="51" xfId="4" applyFont="1" applyFill="1" applyBorder="1" applyAlignment="1">
      <alignment horizontal="center" vertical="center"/>
    </xf>
    <xf numFmtId="0" fontId="112" fillId="4" borderId="73" xfId="4" applyFont="1" applyFill="1" applyBorder="1" applyAlignment="1">
      <alignment horizontal="center" vertical="center" wrapText="1"/>
    </xf>
    <xf numFmtId="0" fontId="112" fillId="4" borderId="5" xfId="4" applyFont="1" applyFill="1" applyBorder="1" applyAlignment="1">
      <alignment horizontal="center" vertical="center" wrapText="1"/>
    </xf>
    <xf numFmtId="0" fontId="111" fillId="4" borderId="73" xfId="4" applyFont="1" applyFill="1" applyBorder="1" applyAlignment="1">
      <alignment horizontal="center" vertical="center" wrapText="1"/>
    </xf>
    <xf numFmtId="0" fontId="111" fillId="4" borderId="5" xfId="4" applyFont="1" applyFill="1" applyBorder="1" applyAlignment="1">
      <alignment horizontal="center" vertical="center" wrapText="1"/>
    </xf>
    <xf numFmtId="0" fontId="113" fillId="4" borderId="73" xfId="4" applyFont="1" applyFill="1" applyBorder="1" applyAlignment="1">
      <alignment horizontal="center" vertical="center" wrapText="1"/>
    </xf>
    <xf numFmtId="0" fontId="113" fillId="4" borderId="74" xfId="4" applyFont="1" applyFill="1" applyBorder="1" applyAlignment="1">
      <alignment horizontal="center" vertical="center" wrapText="1"/>
    </xf>
    <xf numFmtId="0" fontId="113" fillId="4" borderId="5" xfId="4" applyFont="1" applyFill="1" applyBorder="1" applyAlignment="1">
      <alignment horizontal="center" vertical="center" wrapText="1"/>
    </xf>
    <xf numFmtId="0" fontId="113" fillId="4" borderId="75" xfId="4" applyFont="1" applyFill="1" applyBorder="1" applyAlignment="1">
      <alignment horizontal="center" vertical="center" wrapText="1"/>
    </xf>
    <xf numFmtId="0" fontId="21" fillId="4" borderId="5" xfId="4" applyFont="1" applyFill="1" applyBorder="1" applyAlignment="1">
      <alignment horizontal="center" vertical="center" wrapText="1"/>
    </xf>
    <xf numFmtId="0" fontId="11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center" vertical="center"/>
    </xf>
    <xf numFmtId="0" fontId="21" fillId="4" borderId="75" xfId="4" applyFont="1" applyFill="1" applyBorder="1" applyAlignment="1">
      <alignment horizontal="center" vertical="center"/>
    </xf>
    <xf numFmtId="177" fontId="21" fillId="0" borderId="52" xfId="4" applyNumberFormat="1" applyFont="1" applyBorder="1" applyAlignment="1">
      <alignment horizontal="center" vertical="center"/>
    </xf>
    <xf numFmtId="177" fontId="21" fillId="0" borderId="51" xfId="4" applyNumberFormat="1" applyFont="1" applyBorder="1" applyAlignment="1">
      <alignment horizontal="center" vertical="center"/>
    </xf>
    <xf numFmtId="231" fontId="21" fillId="0" borderId="52" xfId="4" applyNumberFormat="1" applyFont="1" applyBorder="1" applyAlignment="1">
      <alignment horizontal="center" vertical="center"/>
    </xf>
    <xf numFmtId="231" fontId="21" fillId="0" borderId="51" xfId="4" applyNumberFormat="1" applyFont="1" applyBorder="1" applyAlignment="1">
      <alignment horizontal="center" vertical="center"/>
    </xf>
    <xf numFmtId="0" fontId="17" fillId="4" borderId="10" xfId="4" applyFont="1" applyFill="1" applyBorder="1" applyAlignment="1">
      <alignment horizontal="center" vertical="center" wrapText="1"/>
    </xf>
    <xf numFmtId="0" fontId="17" fillId="4" borderId="9" xfId="4" applyFont="1" applyFill="1" applyBorder="1" applyAlignment="1">
      <alignment horizontal="center" vertical="center" wrapText="1"/>
    </xf>
    <xf numFmtId="0" fontId="17" fillId="4" borderId="52" xfId="4" applyFont="1" applyFill="1" applyBorder="1" applyAlignment="1">
      <alignment horizontal="center" vertical="center" wrapText="1"/>
    </xf>
    <xf numFmtId="0" fontId="17" fillId="4" borderId="51" xfId="4" applyFont="1" applyFill="1" applyBorder="1" applyAlignment="1">
      <alignment horizontal="center" vertical="center" wrapText="1"/>
    </xf>
    <xf numFmtId="240" fontId="3" fillId="0" borderId="0" xfId="0" applyNumberFormat="1" applyFont="1" applyAlignment="1">
      <alignment horizontal="center" vertical="center"/>
    </xf>
    <xf numFmtId="2" fontId="59" fillId="0" borderId="79" xfId="5" applyNumberFormat="1" applyFont="1" applyBorder="1" applyAlignment="1">
      <alignment horizontal="center" vertical="center"/>
    </xf>
    <xf numFmtId="0" fontId="59" fillId="0" borderId="79" xfId="5" applyFont="1" applyBorder="1" applyAlignment="1">
      <alignment horizontal="center" vertical="center"/>
    </xf>
    <xf numFmtId="178" fontId="59" fillId="0" borderId="79" xfId="5" applyNumberFormat="1" applyFont="1" applyBorder="1" applyAlignment="1">
      <alignment horizontal="center" vertical="center"/>
    </xf>
    <xf numFmtId="198" fontId="59" fillId="0" borderId="79" xfId="5" applyNumberFormat="1" applyFont="1" applyBorder="1" applyAlignment="1">
      <alignment horizontal="center" vertical="center"/>
    </xf>
    <xf numFmtId="198" fontId="59" fillId="0" borderId="80" xfId="5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179" fontId="188" fillId="0" borderId="47" xfId="4" applyNumberFormat="1" applyFont="1" applyBorder="1" applyAlignment="1">
      <alignment horizontal="center" vertical="center"/>
    </xf>
    <xf numFmtId="179" fontId="188" fillId="0" borderId="15" xfId="4" applyNumberFormat="1" applyFont="1" applyBorder="1" applyAlignment="1">
      <alignment horizontal="center" vertical="center"/>
    </xf>
    <xf numFmtId="179" fontId="21" fillId="0" borderId="6" xfId="4" applyNumberFormat="1" applyFont="1" applyBorder="1" applyAlignment="1">
      <alignment horizontal="center" vertical="center"/>
    </xf>
    <xf numFmtId="179" fontId="21" fillId="0" borderId="4" xfId="4" applyNumberFormat="1" applyFont="1" applyBorder="1" applyAlignment="1">
      <alignment horizontal="center" vertical="center"/>
    </xf>
    <xf numFmtId="0" fontId="21" fillId="0" borderId="6" xfId="4" applyFont="1" applyBorder="1" applyAlignment="1">
      <alignment horizontal="center" vertical="center"/>
    </xf>
    <xf numFmtId="0" fontId="21" fillId="0" borderId="38" xfId="4" applyFont="1" applyBorder="1" applyAlignment="1">
      <alignment horizontal="center" vertical="center"/>
    </xf>
    <xf numFmtId="200" fontId="118" fillId="0" borderId="35" xfId="0" applyNumberFormat="1" applyFont="1" applyBorder="1" applyAlignment="1">
      <alignment horizontal="center" vertical="center"/>
    </xf>
    <xf numFmtId="206" fontId="54" fillId="0" borderId="0" xfId="0" applyNumberFormat="1" applyFont="1">
      <alignment vertical="center"/>
    </xf>
    <xf numFmtId="0" fontId="54" fillId="0" borderId="0" xfId="0" applyFont="1">
      <alignment vertical="center"/>
    </xf>
    <xf numFmtId="0" fontId="3" fillId="0" borderId="35" xfId="0" applyFont="1" applyBorder="1" applyAlignment="1">
      <alignment horizontal="center" vertical="center"/>
    </xf>
    <xf numFmtId="177" fontId="59" fillId="0" borderId="79" xfId="5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165" fillId="3" borderId="13" xfId="5" applyFont="1" applyFill="1" applyBorder="1" applyAlignment="1">
      <alignment horizontal="center" vertical="center" wrapText="1"/>
    </xf>
    <xf numFmtId="0" fontId="8" fillId="0" borderId="13" xfId="5" applyFont="1" applyBorder="1" applyAlignment="1">
      <alignment horizontal="center" vertical="center"/>
    </xf>
    <xf numFmtId="0" fontId="23" fillId="3" borderId="13" xfId="5" applyFont="1" applyFill="1" applyBorder="1" applyAlignment="1">
      <alignment horizontal="center" vertical="center" wrapText="1"/>
    </xf>
    <xf numFmtId="2" fontId="8" fillId="0" borderId="13" xfId="5" applyNumberFormat="1" applyFont="1" applyBorder="1" applyAlignment="1">
      <alignment horizontal="center" vertical="center"/>
    </xf>
    <xf numFmtId="186" fontId="8" fillId="0" borderId="13" xfId="1" applyNumberFormat="1" applyFont="1" applyBorder="1" applyAlignment="1">
      <alignment horizontal="center" vertical="center"/>
    </xf>
    <xf numFmtId="0" fontId="23" fillId="3" borderId="13" xfId="5" applyFont="1" applyFill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9" fillId="7" borderId="0" xfId="3" applyFont="1" applyFill="1" applyAlignment="1">
      <alignment horizontal="center" vertical="center"/>
    </xf>
    <xf numFmtId="207" fontId="123" fillId="7" borderId="0" xfId="3" applyNumberFormat="1" applyFont="1" applyFill="1" applyAlignment="1">
      <alignment horizontal="center" vertical="center"/>
    </xf>
    <xf numFmtId="0" fontId="124" fillId="0" borderId="0" xfId="3" applyFont="1" applyAlignment="1">
      <alignment horizontal="center" vertical="center"/>
    </xf>
    <xf numFmtId="207" fontId="108" fillId="0" borderId="0" xfId="3" applyNumberFormat="1" applyFont="1" applyAlignment="1">
      <alignment horizontal="center" vertical="center"/>
    </xf>
    <xf numFmtId="0" fontId="125" fillId="0" borderId="35" xfId="3" applyFont="1" applyBorder="1" applyAlignment="1">
      <alignment horizontal="center" vertical="center"/>
    </xf>
    <xf numFmtId="0" fontId="87" fillId="3" borderId="13" xfId="5" applyFont="1" applyFill="1" applyBorder="1" applyAlignment="1">
      <alignment horizontal="center" vertical="center"/>
    </xf>
    <xf numFmtId="0" fontId="54" fillId="3" borderId="2" xfId="5" applyFont="1" applyFill="1" applyBorder="1" applyAlignment="1">
      <alignment horizontal="center" vertical="center" wrapText="1"/>
    </xf>
    <xf numFmtId="186" fontId="87" fillId="0" borderId="13" xfId="1" applyNumberFormat="1" applyFont="1" applyBorder="1" applyAlignment="1">
      <alignment horizontal="center" vertical="center"/>
    </xf>
    <xf numFmtId="2" fontId="87" fillId="0" borderId="13" xfId="5" applyNumberFormat="1" applyFont="1" applyBorder="1" applyAlignment="1">
      <alignment horizontal="center" vertical="center"/>
    </xf>
    <xf numFmtId="0" fontId="110" fillId="0" borderId="52" xfId="4" applyFont="1" applyBorder="1" applyAlignment="1">
      <alignment horizontal="center" vertical="center"/>
    </xf>
    <xf numFmtId="0" fontId="110" fillId="0" borderId="51" xfId="4" applyFont="1" applyBorder="1" applyAlignment="1">
      <alignment horizontal="center" vertical="center"/>
    </xf>
    <xf numFmtId="0" fontId="3" fillId="0" borderId="0" xfId="3" quotePrefix="1" applyAlignment="1">
      <alignment horizontal="center" vertical="center"/>
    </xf>
    <xf numFmtId="3" fontId="3" fillId="0" borderId="0" xfId="3" applyNumberFormat="1" applyAlignment="1">
      <alignment horizontal="center" vertical="center"/>
    </xf>
    <xf numFmtId="186" fontId="3" fillId="0" borderId="35" xfId="1" applyNumberFormat="1" applyFont="1" applyBorder="1" applyAlignment="1">
      <alignment horizontal="center" vertical="center"/>
    </xf>
    <xf numFmtId="176" fontId="3" fillId="0" borderId="35" xfId="5" applyNumberFormat="1" applyBorder="1" applyAlignment="1">
      <alignment horizontal="center" vertical="center"/>
    </xf>
    <xf numFmtId="0" fontId="47" fillId="4" borderId="73" xfId="4" applyFont="1" applyFill="1" applyBorder="1" applyAlignment="1">
      <alignment horizontal="center" vertical="center" wrapText="1"/>
    </xf>
    <xf numFmtId="0" fontId="47" fillId="4" borderId="74" xfId="4" applyFont="1" applyFill="1" applyBorder="1" applyAlignment="1">
      <alignment horizontal="center" vertical="center" wrapText="1"/>
    </xf>
    <xf numFmtId="0" fontId="47" fillId="4" borderId="5" xfId="4" applyFont="1" applyFill="1" applyBorder="1" applyAlignment="1">
      <alignment horizontal="center" vertical="center" wrapText="1"/>
    </xf>
    <xf numFmtId="0" fontId="47" fillId="4" borderId="75" xfId="4" applyFont="1" applyFill="1" applyBorder="1" applyAlignment="1">
      <alignment horizontal="center" vertical="center" wrapText="1"/>
    </xf>
    <xf numFmtId="197" fontId="3" fillId="0" borderId="17" xfId="5" applyNumberFormat="1" applyBorder="1" applyAlignment="1">
      <alignment horizontal="center" vertical="center"/>
    </xf>
    <xf numFmtId="0" fontId="165" fillId="3" borderId="1" xfId="3" applyFont="1" applyFill="1" applyBorder="1" applyAlignment="1">
      <alignment horizontal="center" vertical="center"/>
    </xf>
    <xf numFmtId="0" fontId="165" fillId="3" borderId="2" xfId="3" applyFont="1" applyFill="1" applyBorder="1" applyAlignment="1">
      <alignment horizontal="center" vertical="center"/>
    </xf>
    <xf numFmtId="0" fontId="3" fillId="0" borderId="0" xfId="5" applyAlignment="1">
      <alignment horizontal="center" vertical="center"/>
    </xf>
    <xf numFmtId="0" fontId="129" fillId="0" borderId="13" xfId="0" applyFont="1" applyBorder="1" applyAlignment="1">
      <alignment horizontal="center" vertical="center" wrapText="1"/>
    </xf>
    <xf numFmtId="179" fontId="21" fillId="0" borderId="52" xfId="4" applyNumberFormat="1" applyFont="1" applyBorder="1" applyAlignment="1">
      <alignment horizontal="center" vertical="center"/>
    </xf>
    <xf numFmtId="179" fontId="21" fillId="0" borderId="101" xfId="4" applyNumberFormat="1" applyFont="1" applyBorder="1" applyAlignment="1">
      <alignment horizontal="center" vertical="center"/>
    </xf>
    <xf numFmtId="177" fontId="21" fillId="0" borderId="5" xfId="4" applyNumberFormat="1" applyFont="1" applyBorder="1" applyAlignment="1">
      <alignment horizontal="center" vertical="center"/>
    </xf>
    <xf numFmtId="177" fontId="21" fillId="0" borderId="27" xfId="4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0" fontId="104" fillId="0" borderId="0" xfId="3" applyFont="1" applyAlignment="1">
      <alignment horizontal="center" vertical="center"/>
    </xf>
    <xf numFmtId="176" fontId="3" fillId="0" borderId="0" xfId="0" quotePrefix="1" applyNumberFormat="1" applyFont="1" applyAlignment="1">
      <alignment horizontal="center" vertical="center"/>
    </xf>
    <xf numFmtId="197" fontId="3" fillId="0" borderId="0" xfId="0" applyNumberFormat="1" applyFont="1" applyAlignment="1">
      <alignment horizontal="center" vertical="center"/>
    </xf>
    <xf numFmtId="179" fontId="21" fillId="0" borderId="38" xfId="4" applyNumberFormat="1" applyFont="1" applyBorder="1" applyAlignment="1">
      <alignment horizontal="center" vertical="center"/>
    </xf>
    <xf numFmtId="179" fontId="21" fillId="0" borderId="56" xfId="4" applyNumberFormat="1" applyFont="1" applyBorder="1" applyAlignment="1">
      <alignment horizontal="center" vertical="center"/>
    </xf>
    <xf numFmtId="179" fontId="21" fillId="0" borderId="85" xfId="4" applyNumberFormat="1" applyFont="1" applyBorder="1" applyAlignment="1">
      <alignment horizontal="center" vertical="center"/>
    </xf>
    <xf numFmtId="0" fontId="226" fillId="0" borderId="14" xfId="0" applyFont="1" applyBorder="1" applyAlignment="1">
      <alignment horizontal="center" vertical="center"/>
    </xf>
    <xf numFmtId="41" fontId="3" fillId="0" borderId="0" xfId="7" applyFont="1" applyAlignment="1">
      <alignment horizontal="center" vertical="center"/>
    </xf>
    <xf numFmtId="0" fontId="141" fillId="0" borderId="35" xfId="0" applyFont="1" applyBorder="1" applyAlignment="1">
      <alignment horizontal="center" vertical="center"/>
    </xf>
    <xf numFmtId="0" fontId="141" fillId="0" borderId="15" xfId="0" applyFont="1" applyBorder="1" applyAlignment="1">
      <alignment horizontal="center" vertical="center"/>
    </xf>
    <xf numFmtId="0" fontId="143" fillId="0" borderId="47" xfId="0" applyFont="1" applyBorder="1" applyAlignment="1">
      <alignment horizontal="center" vertical="center"/>
    </xf>
    <xf numFmtId="0" fontId="143" fillId="0" borderId="35" xfId="0" applyFont="1" applyBorder="1" applyAlignment="1">
      <alignment horizontal="center" vertical="center"/>
    </xf>
    <xf numFmtId="0" fontId="143" fillId="0" borderId="15" xfId="0" applyFont="1" applyBorder="1" applyAlignment="1">
      <alignment horizontal="center" vertical="center"/>
    </xf>
    <xf numFmtId="0" fontId="143" fillId="0" borderId="17" xfId="0" applyFont="1" applyBorder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41" fillId="3" borderId="50" xfId="0" applyFont="1" applyFill="1" applyBorder="1" applyAlignment="1">
      <alignment horizontal="center" vertical="center" wrapText="1"/>
    </xf>
    <xf numFmtId="0" fontId="141" fillId="3" borderId="51" xfId="0" applyFont="1" applyFill="1" applyBorder="1" applyAlignment="1">
      <alignment horizontal="center" vertical="center" wrapText="1"/>
    </xf>
    <xf numFmtId="0" fontId="143" fillId="3" borderId="52" xfId="0" applyFont="1" applyFill="1" applyBorder="1" applyAlignment="1">
      <alignment horizontal="center" vertical="center" wrapText="1"/>
    </xf>
    <xf numFmtId="0" fontId="143" fillId="3" borderId="50" xfId="0" applyFont="1" applyFill="1" applyBorder="1" applyAlignment="1">
      <alignment horizontal="center" vertical="center" wrapText="1"/>
    </xf>
    <xf numFmtId="0" fontId="143" fillId="3" borderId="51" xfId="0" applyFont="1" applyFill="1" applyBorder="1" applyAlignment="1">
      <alignment horizontal="center" vertical="center" wrapText="1"/>
    </xf>
    <xf numFmtId="0" fontId="143" fillId="3" borderId="27" xfId="0" applyFont="1" applyFill="1" applyBorder="1" applyAlignment="1">
      <alignment horizontal="center" vertical="center"/>
    </xf>
    <xf numFmtId="0" fontId="143" fillId="3" borderId="2" xfId="0" applyFont="1" applyFill="1" applyBorder="1" applyAlignment="1">
      <alignment horizontal="center" vertical="center"/>
    </xf>
    <xf numFmtId="0" fontId="143" fillId="3" borderId="3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3" fillId="3" borderId="27" xfId="3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/>
    </xf>
    <xf numFmtId="0" fontId="68" fillId="3" borderId="1" xfId="3" applyFont="1" applyFill="1" applyBorder="1" applyAlignment="1">
      <alignment horizontal="center" vertical="center"/>
    </xf>
    <xf numFmtId="0" fontId="68" fillId="3" borderId="2" xfId="3" applyFont="1" applyFill="1" applyBorder="1" applyAlignment="1">
      <alignment horizontal="center" vertical="center"/>
    </xf>
    <xf numFmtId="0" fontId="141" fillId="0" borderId="4" xfId="0" applyFont="1" applyBorder="1" applyAlignment="1">
      <alignment horizontal="center" vertical="center" wrapText="1"/>
    </xf>
    <xf numFmtId="0" fontId="141" fillId="0" borderId="5" xfId="0" applyFont="1" applyBorder="1" applyAlignment="1">
      <alignment horizontal="center" vertical="center" wrapText="1"/>
    </xf>
    <xf numFmtId="222" fontId="143" fillId="0" borderId="5" xfId="0" applyNumberFormat="1" applyFont="1" applyBorder="1" applyAlignment="1">
      <alignment horizontal="center" vertical="center" wrapText="1"/>
    </xf>
    <xf numFmtId="0" fontId="143" fillId="0" borderId="5" xfId="0" applyFont="1" applyBorder="1" applyAlignment="1">
      <alignment horizontal="center" vertical="center" wrapText="1"/>
    </xf>
    <xf numFmtId="0" fontId="143" fillId="0" borderId="6" xfId="0" applyFont="1" applyBorder="1" applyAlignment="1">
      <alignment horizontal="center" vertical="center" wrapText="1"/>
    </xf>
    <xf numFmtId="0" fontId="68" fillId="0" borderId="49" xfId="3" applyFont="1" applyBorder="1" applyAlignment="1">
      <alignment horizontal="center" vertical="center"/>
    </xf>
    <xf numFmtId="0" fontId="68" fillId="0" borderId="17" xfId="3" applyFont="1" applyBorder="1" applyAlignment="1">
      <alignment horizontal="center" vertical="center"/>
    </xf>
    <xf numFmtId="228" fontId="143" fillId="0" borderId="37" xfId="0" applyNumberFormat="1" applyFont="1" applyBorder="1" applyAlignment="1">
      <alignment horizontal="center" vertical="center" wrapText="1"/>
    </xf>
    <xf numFmtId="0" fontId="143" fillId="3" borderId="2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0" fontId="141" fillId="0" borderId="49" xfId="0" applyFont="1" applyBorder="1" applyAlignment="1">
      <alignment horizontal="center" vertical="center" wrapText="1"/>
    </xf>
    <xf numFmtId="0" fontId="141" fillId="0" borderId="17" xfId="0" applyFont="1" applyBorder="1" applyAlignment="1">
      <alignment horizontal="center" vertical="center" wrapText="1"/>
    </xf>
    <xf numFmtId="0" fontId="143" fillId="0" borderId="17" xfId="0" applyFont="1" applyBorder="1" applyAlignment="1">
      <alignment horizontal="center" vertical="center" wrapText="1"/>
    </xf>
    <xf numFmtId="0" fontId="143" fillId="0" borderId="18" xfId="0" applyFont="1" applyBorder="1" applyAlignment="1">
      <alignment horizontal="center" vertical="center" wrapText="1"/>
    </xf>
    <xf numFmtId="0" fontId="143" fillId="0" borderId="43" xfId="0" applyFont="1" applyBorder="1" applyAlignment="1">
      <alignment horizontal="center" vertical="center" wrapText="1"/>
    </xf>
    <xf numFmtId="0" fontId="141" fillId="3" borderId="1" xfId="0" applyFont="1" applyFill="1" applyBorder="1" applyAlignment="1">
      <alignment horizontal="center" vertical="center" wrapText="1"/>
    </xf>
    <xf numFmtId="0" fontId="141" fillId="3" borderId="2" xfId="0" applyFont="1" applyFill="1" applyBorder="1" applyAlignment="1">
      <alignment horizontal="center" vertical="center" wrapText="1"/>
    </xf>
    <xf numFmtId="0" fontId="143" fillId="3" borderId="3" xfId="0" applyFont="1" applyFill="1" applyBorder="1" applyAlignment="1">
      <alignment horizontal="center" vertical="center" wrapText="1"/>
    </xf>
    <xf numFmtId="0" fontId="143" fillId="3" borderId="102" xfId="0" applyFont="1" applyFill="1" applyBorder="1" applyAlignment="1">
      <alignment horizontal="center" vertical="center" wrapText="1"/>
    </xf>
    <xf numFmtId="0" fontId="141" fillId="0" borderId="50" xfId="0" applyFont="1" applyBorder="1" applyAlignment="1">
      <alignment horizontal="center" vertical="center"/>
    </xf>
    <xf numFmtId="0" fontId="141" fillId="0" borderId="51" xfId="0" applyFont="1" applyBorder="1" applyAlignment="1">
      <alignment horizontal="center" vertical="center"/>
    </xf>
    <xf numFmtId="213" fontId="143" fillId="0" borderId="52" xfId="0" applyNumberFormat="1" applyFont="1" applyBorder="1" applyAlignment="1">
      <alignment horizontal="center" vertical="center"/>
    </xf>
    <xf numFmtId="213" fontId="143" fillId="0" borderId="50" xfId="0" applyNumberFormat="1" applyFont="1" applyBorder="1" applyAlignment="1">
      <alignment horizontal="center" vertical="center"/>
    </xf>
    <xf numFmtId="213" fontId="143" fillId="0" borderId="51" xfId="0" applyNumberFormat="1" applyFont="1" applyBorder="1" applyAlignment="1">
      <alignment horizontal="center" vertical="center"/>
    </xf>
    <xf numFmtId="221" fontId="143" fillId="0" borderId="52" xfId="0" applyNumberFormat="1" applyFont="1" applyBorder="1" applyAlignment="1">
      <alignment horizontal="center" vertical="center"/>
    </xf>
    <xf numFmtId="221" fontId="143" fillId="0" borderId="50" xfId="0" applyNumberFormat="1" applyFont="1" applyBorder="1" applyAlignment="1">
      <alignment horizontal="center" vertical="center"/>
    </xf>
    <xf numFmtId="221" fontId="143" fillId="0" borderId="51" xfId="0" applyNumberFormat="1" applyFont="1" applyBorder="1" applyAlignment="1">
      <alignment horizontal="center" vertical="center"/>
    </xf>
    <xf numFmtId="0" fontId="143" fillId="0" borderId="27" xfId="0" applyFont="1" applyBorder="1" applyAlignment="1">
      <alignment horizontal="center" vertical="center"/>
    </xf>
    <xf numFmtId="0" fontId="143" fillId="0" borderId="52" xfId="0" applyFont="1" applyBorder="1" applyAlignment="1">
      <alignment horizontal="center" vertical="center"/>
    </xf>
    <xf numFmtId="0" fontId="143" fillId="0" borderId="5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68" fillId="3" borderId="2" xfId="5" applyFont="1" applyFill="1" applyBorder="1" applyAlignment="1">
      <alignment horizontal="center" vertical="center" wrapText="1"/>
    </xf>
    <xf numFmtId="0" fontId="68" fillId="3" borderId="2" xfId="3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237" fontId="54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97" fontId="54" fillId="0" borderId="0" xfId="0" applyNumberFormat="1" applyFont="1" applyAlignment="1">
      <alignment horizontal="center" vertical="center"/>
    </xf>
    <xf numFmtId="213" fontId="226" fillId="0" borderId="130" xfId="0" applyNumberFormat="1" applyFont="1" applyBorder="1" applyAlignment="1">
      <alignment horizontal="center" vertical="center"/>
    </xf>
    <xf numFmtId="0" fontId="226" fillId="0" borderId="130" xfId="0" applyFont="1" applyBorder="1" applyAlignment="1">
      <alignment horizontal="center" vertical="center"/>
    </xf>
    <xf numFmtId="0" fontId="226" fillId="0" borderId="131" xfId="0" applyFont="1" applyBorder="1" applyAlignment="1">
      <alignment horizontal="center" vertical="center"/>
    </xf>
    <xf numFmtId="197" fontId="41" fillId="0" borderId="0" xfId="0" applyNumberFormat="1" applyFont="1" applyAlignment="1">
      <alignment horizontal="center" vertical="center"/>
    </xf>
    <xf numFmtId="0" fontId="256" fillId="0" borderId="35" xfId="3" applyFont="1" applyBorder="1" applyAlignment="1">
      <alignment horizontal="center" vertical="center"/>
    </xf>
    <xf numFmtId="0" fontId="3" fillId="0" borderId="35" xfId="3" applyBorder="1" applyAlignment="1">
      <alignment horizontal="center" vertical="center"/>
    </xf>
    <xf numFmtId="0" fontId="256" fillId="0" borderId="8" xfId="3" applyFont="1" applyBorder="1" applyAlignment="1">
      <alignment horizontal="center" vertical="center"/>
    </xf>
    <xf numFmtId="0" fontId="226" fillId="0" borderId="133" xfId="0" applyFont="1" applyBorder="1" applyAlignment="1">
      <alignment horizontal="center" vertical="center"/>
    </xf>
    <xf numFmtId="0" fontId="226" fillId="0" borderId="91" xfId="0" applyFont="1" applyBorder="1" applyAlignment="1">
      <alignment horizontal="center" vertical="center"/>
    </xf>
    <xf numFmtId="212" fontId="226" fillId="0" borderId="133" xfId="0" applyNumberFormat="1" applyFont="1" applyBorder="1" applyAlignment="1">
      <alignment horizontal="center" vertical="center"/>
    </xf>
    <xf numFmtId="212" fontId="226" fillId="0" borderId="91" xfId="0" applyNumberFormat="1" applyFont="1" applyBorder="1" applyAlignment="1">
      <alignment horizontal="center" vertical="center"/>
    </xf>
    <xf numFmtId="0" fontId="54" fillId="3" borderId="1" xfId="3" applyFont="1" applyFill="1" applyBorder="1" applyAlignment="1">
      <alignment horizontal="center" vertical="center"/>
    </xf>
    <xf numFmtId="0" fontId="54" fillId="3" borderId="2" xfId="3" applyFont="1" applyFill="1" applyBorder="1" applyAlignment="1">
      <alignment horizontal="center" vertical="center"/>
    </xf>
    <xf numFmtId="176" fontId="39" fillId="0" borderId="47" xfId="5" applyNumberFormat="1" applyFont="1" applyBorder="1" applyAlignment="1">
      <alignment horizontal="center" vertical="center" shrinkToFit="1"/>
    </xf>
    <xf numFmtId="176" fontId="39" fillId="0" borderId="35" xfId="5" applyNumberFormat="1" applyFont="1" applyBorder="1" applyAlignment="1">
      <alignment horizontal="center" vertical="center" shrinkToFit="1"/>
    </xf>
    <xf numFmtId="176" fontId="39" fillId="0" borderId="15" xfId="5" applyNumberFormat="1" applyFont="1" applyBorder="1" applyAlignment="1">
      <alignment horizontal="center" vertical="center" shrinkToFit="1"/>
    </xf>
    <xf numFmtId="2" fontId="39" fillId="0" borderId="47" xfId="5" applyNumberFormat="1" applyFont="1" applyBorder="1" applyAlignment="1">
      <alignment horizontal="center" vertical="center" shrinkToFit="1"/>
    </xf>
    <xf numFmtId="2" fontId="39" fillId="0" borderId="35" xfId="5" applyNumberFormat="1" applyFont="1" applyBorder="1" applyAlignment="1">
      <alignment horizontal="center" vertical="center" shrinkToFit="1"/>
    </xf>
    <xf numFmtId="2" fontId="39" fillId="0" borderId="15" xfId="5" applyNumberFormat="1" applyFont="1" applyBorder="1" applyAlignment="1">
      <alignment horizontal="center" vertical="center" shrinkToFit="1"/>
    </xf>
    <xf numFmtId="0" fontId="3" fillId="0" borderId="17" xfId="3" applyBorder="1" applyAlignment="1">
      <alignment horizontal="center" vertical="center"/>
    </xf>
    <xf numFmtId="2" fontId="10" fillId="0" borderId="47" xfId="5" applyNumberFormat="1" applyFont="1" applyBorder="1" applyAlignment="1">
      <alignment horizontal="center" vertical="center" shrinkToFit="1"/>
    </xf>
    <xf numFmtId="2" fontId="10" fillId="0" borderId="35" xfId="5" applyNumberFormat="1" applyFont="1" applyBorder="1" applyAlignment="1">
      <alignment horizontal="center" vertical="center" shrinkToFit="1"/>
    </xf>
    <xf numFmtId="0" fontId="10" fillId="3" borderId="50" xfId="0" applyFont="1" applyFill="1" applyBorder="1" applyAlignment="1">
      <alignment horizontal="left" vertical="center"/>
    </xf>
    <xf numFmtId="0" fontId="10" fillId="3" borderId="51" xfId="0" applyFont="1" applyFill="1" applyBorder="1" applyAlignment="1">
      <alignment horizontal="left" vertical="center"/>
    </xf>
    <xf numFmtId="0" fontId="39" fillId="0" borderId="95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176" fontId="39" fillId="0" borderId="6" xfId="5" applyNumberFormat="1" applyFont="1" applyBorder="1" applyAlignment="1">
      <alignment horizontal="center" vertical="center" shrinkToFit="1"/>
    </xf>
    <xf numFmtId="176" fontId="39" fillId="0" borderId="95" xfId="5" applyNumberFormat="1" applyFont="1" applyBorder="1" applyAlignment="1">
      <alignment horizontal="center" vertical="center" shrinkToFit="1"/>
    </xf>
    <xf numFmtId="176" fontId="39" fillId="0" borderId="4" xfId="5" applyNumberFormat="1" applyFont="1" applyBorder="1" applyAlignment="1">
      <alignment horizontal="center" vertical="center" shrinkToFit="1"/>
    </xf>
    <xf numFmtId="2" fontId="39" fillId="0" borderId="6" xfId="5" applyNumberFormat="1" applyFont="1" applyBorder="1" applyAlignment="1">
      <alignment horizontal="center" vertical="center" shrinkToFit="1"/>
    </xf>
    <xf numFmtId="2" fontId="39" fillId="0" borderId="95" xfId="5" applyNumberFormat="1" applyFont="1" applyBorder="1" applyAlignment="1">
      <alignment horizontal="center" vertical="center" shrinkToFit="1"/>
    </xf>
    <xf numFmtId="2" fontId="39" fillId="0" borderId="4" xfId="5" applyNumberFormat="1" applyFont="1" applyBorder="1" applyAlignment="1">
      <alignment horizontal="center" vertical="center" shrinkToFit="1"/>
    </xf>
    <xf numFmtId="9" fontId="10" fillId="0" borderId="6" xfId="6" applyFont="1" applyFill="1" applyBorder="1" applyAlignment="1">
      <alignment horizontal="center" vertical="center" shrinkToFit="1"/>
    </xf>
    <xf numFmtId="9" fontId="10" fillId="0" borderId="95" xfId="6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horizontal="right" vertical="center"/>
    </xf>
    <xf numFmtId="0" fontId="10" fillId="3" borderId="48" xfId="0" applyFont="1" applyFill="1" applyBorder="1" applyAlignment="1">
      <alignment horizontal="right" vertical="center"/>
    </xf>
    <xf numFmtId="176" fontId="3" fillId="0" borderId="18" xfId="5" applyNumberFormat="1" applyBorder="1" applyAlignment="1">
      <alignment horizontal="center" vertical="center"/>
    </xf>
    <xf numFmtId="176" fontId="3" fillId="0" borderId="56" xfId="5" applyNumberFormat="1" applyBorder="1" applyAlignment="1">
      <alignment horizontal="center" vertical="center"/>
    </xf>
    <xf numFmtId="176" fontId="3" fillId="0" borderId="49" xfId="5" applyNumberFormat="1" applyBorder="1" applyAlignment="1">
      <alignment horizontal="center" vertical="center"/>
    </xf>
    <xf numFmtId="176" fontId="10" fillId="0" borderId="18" xfId="3" applyNumberFormat="1" applyFont="1" applyBorder="1" applyAlignment="1">
      <alignment horizontal="center" vertical="center"/>
    </xf>
    <xf numFmtId="176" fontId="10" fillId="0" borderId="56" xfId="3" applyNumberFormat="1" applyFont="1" applyBorder="1" applyAlignment="1">
      <alignment horizontal="center" vertical="center"/>
    </xf>
    <xf numFmtId="176" fontId="10" fillId="0" borderId="49" xfId="3" applyNumberFormat="1" applyFont="1" applyBorder="1" applyAlignment="1">
      <alignment horizontal="center" vertical="center"/>
    </xf>
    <xf numFmtId="0" fontId="226" fillId="0" borderId="105" xfId="0" applyFont="1" applyBorder="1" applyAlignment="1">
      <alignment horizontal="left" vertical="center" wrapText="1"/>
    </xf>
    <xf numFmtId="0" fontId="226" fillId="0" borderId="0" xfId="0" applyFont="1" applyAlignment="1">
      <alignment horizontal="left" vertical="center" wrapText="1"/>
    </xf>
    <xf numFmtId="194" fontId="226" fillId="0" borderId="0" xfId="0" applyNumberFormat="1" applyFont="1" applyAlignment="1">
      <alignment horizontal="center" vertical="center"/>
    </xf>
    <xf numFmtId="176" fontId="3" fillId="0" borderId="35" xfId="0" applyNumberFormat="1" applyFont="1" applyBorder="1" applyAlignment="1">
      <alignment horizontal="center" vertical="center"/>
    </xf>
    <xf numFmtId="186" fontId="8" fillId="0" borderId="13" xfId="5" applyNumberFormat="1" applyFont="1" applyBorder="1" applyAlignment="1">
      <alignment horizontal="center" vertical="center"/>
    </xf>
    <xf numFmtId="0" fontId="255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162" fillId="0" borderId="0" xfId="3" applyFont="1">
      <alignment vertical="center"/>
    </xf>
    <xf numFmtId="227" fontId="68" fillId="0" borderId="17" xfId="5" applyNumberFormat="1" applyFont="1" applyBorder="1" applyAlignment="1">
      <alignment horizontal="center" vertical="center"/>
    </xf>
    <xf numFmtId="186" fontId="68" fillId="0" borderId="17" xfId="1" applyNumberFormat="1" applyFont="1" applyFill="1" applyBorder="1" applyAlignment="1">
      <alignment horizontal="center" vertical="center"/>
    </xf>
    <xf numFmtId="0" fontId="68" fillId="0" borderId="17" xfId="5" applyFont="1" applyBorder="1" applyAlignment="1">
      <alignment horizontal="center" vertical="center"/>
    </xf>
    <xf numFmtId="0" fontId="68" fillId="0" borderId="18" xfId="5" applyFont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 wrapText="1"/>
    </xf>
    <xf numFmtId="0" fontId="68" fillId="3" borderId="2" xfId="5" applyFont="1" applyFill="1" applyBorder="1" applyAlignment="1">
      <alignment horizontal="center" vertical="center"/>
    </xf>
    <xf numFmtId="0" fontId="68" fillId="3" borderId="3" xfId="5" applyFont="1" applyFill="1" applyBorder="1" applyAlignment="1">
      <alignment horizontal="center" vertical="center"/>
    </xf>
    <xf numFmtId="197" fontId="3" fillId="0" borderId="8" xfId="0" applyNumberFormat="1" applyFont="1" applyBorder="1" applyAlignment="1">
      <alignment horizontal="center" vertical="center"/>
    </xf>
    <xf numFmtId="0" fontId="225" fillId="3" borderId="20" xfId="0" applyFont="1" applyFill="1" applyBorder="1" applyAlignment="1">
      <alignment horizontal="center" vertical="center"/>
    </xf>
    <xf numFmtId="0" fontId="225" fillId="3" borderId="134" xfId="0" applyFont="1" applyFill="1" applyBorder="1" applyAlignment="1">
      <alignment horizontal="center" vertical="center"/>
    </xf>
    <xf numFmtId="0" fontId="59" fillId="0" borderId="35" xfId="3" applyFont="1" applyBorder="1" applyAlignment="1">
      <alignment horizontal="center" vertical="center"/>
    </xf>
    <xf numFmtId="3" fontId="3" fillId="0" borderId="0" xfId="5" applyNumberFormat="1" applyAlignment="1">
      <alignment horizontal="center" vertical="center"/>
    </xf>
    <xf numFmtId="2" fontId="3" fillId="0" borderId="8" xfId="5" applyNumberFormat="1" applyBorder="1" applyAlignment="1">
      <alignment horizontal="center" vertical="center"/>
    </xf>
    <xf numFmtId="0" fontId="3" fillId="0" borderId="8" xfId="5" applyBorder="1" applyAlignment="1">
      <alignment horizontal="center" vertical="center"/>
    </xf>
    <xf numFmtId="206" fontId="3" fillId="0" borderId="35" xfId="1" applyNumberFormat="1" applyFont="1" applyBorder="1" applyAlignment="1">
      <alignment horizontal="center" vertical="center"/>
    </xf>
    <xf numFmtId="0" fontId="3" fillId="0" borderId="8" xfId="3" applyBorder="1" applyAlignment="1">
      <alignment horizontal="center" vertical="center"/>
    </xf>
    <xf numFmtId="0" fontId="26" fillId="0" borderId="31" xfId="3" applyFont="1" applyBorder="1" applyAlignment="1">
      <alignment horizontal="left" vertical="center"/>
    </xf>
    <xf numFmtId="0" fontId="26" fillId="0" borderId="32" xfId="3" applyFont="1" applyBorder="1" applyAlignment="1">
      <alignment horizontal="left" vertical="center"/>
    </xf>
    <xf numFmtId="0" fontId="161" fillId="0" borderId="0" xfId="3" applyFont="1" applyAlignment="1">
      <alignment horizontal="center" vertical="center" wrapText="1"/>
    </xf>
    <xf numFmtId="0" fontId="8" fillId="0" borderId="56" xfId="3" applyFont="1" applyBorder="1" applyAlignment="1">
      <alignment horizontal="center" vertical="center"/>
    </xf>
    <xf numFmtId="0" fontId="259" fillId="0" borderId="0" xfId="3" quotePrefix="1" applyFont="1" applyAlignment="1">
      <alignment horizontal="distributed" vertical="center"/>
    </xf>
    <xf numFmtId="0" fontId="23" fillId="0" borderId="0" xfId="3" applyFont="1" applyAlignment="1">
      <alignment horizontal="distributed" vertical="center" indent="1"/>
    </xf>
    <xf numFmtId="14" fontId="161" fillId="0" borderId="0" xfId="3" applyNumberFormat="1" applyFont="1" applyAlignment="1">
      <alignment horizontal="center" vertical="center" wrapText="1"/>
    </xf>
    <xf numFmtId="0" fontId="54" fillId="0" borderId="0" xfId="3" applyFont="1" applyAlignment="1">
      <alignment horizontal="distributed" vertical="center" indent="1"/>
    </xf>
    <xf numFmtId="0" fontId="259" fillId="0" borderId="0" xfId="3" applyFont="1" applyAlignment="1">
      <alignment horizontal="left" vertical="center"/>
    </xf>
    <xf numFmtId="178" fontId="59" fillId="0" borderId="87" xfId="5" applyNumberFormat="1" applyFont="1" applyBorder="1" applyAlignment="1">
      <alignment horizontal="center" vertical="center"/>
    </xf>
    <xf numFmtId="178" fontId="59" fillId="0" borderId="88" xfId="5" applyNumberFormat="1" applyFont="1" applyBorder="1" applyAlignment="1">
      <alignment horizontal="center" vertical="center"/>
    </xf>
    <xf numFmtId="198" fontId="59" fillId="0" borderId="87" xfId="5" applyNumberFormat="1" applyFont="1" applyBorder="1" applyAlignment="1">
      <alignment horizontal="center" vertical="center"/>
    </xf>
    <xf numFmtId="198" fontId="59" fillId="0" borderId="89" xfId="5" applyNumberFormat="1" applyFont="1" applyBorder="1" applyAlignment="1">
      <alignment horizontal="center" vertical="center"/>
    </xf>
    <xf numFmtId="198" fontId="59" fillId="0" borderId="90" xfId="5" applyNumberFormat="1" applyFont="1" applyBorder="1" applyAlignment="1">
      <alignment horizontal="center" vertical="center"/>
    </xf>
    <xf numFmtId="0" fontId="141" fillId="0" borderId="4" xfId="0" applyFont="1" applyBorder="1" applyAlignment="1">
      <alignment horizontal="center" vertical="center"/>
    </xf>
    <xf numFmtId="0" fontId="141" fillId="0" borderId="5" xfId="0" applyFont="1" applyBorder="1" applyAlignment="1">
      <alignment horizontal="center" vertical="center"/>
    </xf>
    <xf numFmtId="213" fontId="143" fillId="0" borderId="5" xfId="0" applyNumberFormat="1" applyFont="1" applyBorder="1" applyAlignment="1">
      <alignment horizontal="center" vertical="center"/>
    </xf>
    <xf numFmtId="0" fontId="141" fillId="0" borderId="49" xfId="0" applyFont="1" applyBorder="1" applyAlignment="1">
      <alignment horizontal="center" vertical="center"/>
    </xf>
    <xf numFmtId="0" fontId="141" fillId="0" borderId="17" xfId="0" applyFont="1" applyBorder="1" applyAlignment="1">
      <alignment horizontal="center" vertical="center"/>
    </xf>
    <xf numFmtId="0" fontId="141" fillId="3" borderId="1" xfId="0" applyFont="1" applyFill="1" applyBorder="1" applyAlignment="1">
      <alignment horizontal="center" vertical="center"/>
    </xf>
    <xf numFmtId="0" fontId="141" fillId="3" borderId="2" xfId="0" applyFont="1" applyFill="1" applyBorder="1" applyAlignment="1">
      <alignment horizontal="center" vertical="center"/>
    </xf>
    <xf numFmtId="212" fontId="143" fillId="0" borderId="5" xfId="0" applyNumberFormat="1" applyFont="1" applyBorder="1" applyAlignment="1">
      <alignment horizontal="center" vertical="center"/>
    </xf>
    <xf numFmtId="0" fontId="68" fillId="0" borderId="4" xfId="3" applyFont="1" applyBorder="1" applyAlignment="1">
      <alignment horizontal="center" vertical="center"/>
    </xf>
    <xf numFmtId="0" fontId="68" fillId="0" borderId="5" xfId="3" applyFont="1" applyBorder="1" applyAlignment="1">
      <alignment horizontal="center" vertical="center"/>
    </xf>
    <xf numFmtId="0" fontId="68" fillId="0" borderId="5" xfId="5" applyFont="1" applyBorder="1" applyAlignment="1">
      <alignment horizontal="center" vertical="center"/>
    </xf>
    <xf numFmtId="186" fontId="68" fillId="0" borderId="5" xfId="1" applyNumberFormat="1" applyFont="1" applyFill="1" applyBorder="1" applyAlignment="1">
      <alignment horizontal="center" vertical="center"/>
    </xf>
    <xf numFmtId="0" fontId="68" fillId="0" borderId="6" xfId="5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210" fontId="134" fillId="0" borderId="0" xfId="0" applyNumberFormat="1" applyFont="1" applyAlignment="1">
      <alignment horizontal="left" vertical="center"/>
    </xf>
    <xf numFmtId="0" fontId="21" fillId="5" borderId="31" xfId="0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/>
    </xf>
    <xf numFmtId="183" fontId="110" fillId="0" borderId="18" xfId="4" applyNumberFormat="1" applyFont="1" applyBorder="1" applyAlignment="1">
      <alignment horizontal="center" vertical="center"/>
    </xf>
    <xf numFmtId="183" fontId="110" fillId="0" borderId="49" xfId="4" applyNumberFormat="1" applyFont="1" applyBorder="1" applyAlignment="1">
      <alignment horizontal="center" vertical="center"/>
    </xf>
    <xf numFmtId="209" fontId="110" fillId="0" borderId="6" xfId="4" applyNumberFormat="1" applyFont="1" applyBorder="1" applyAlignment="1">
      <alignment horizontal="center" vertical="center"/>
    </xf>
    <xf numFmtId="209" fontId="110" fillId="0" borderId="4" xfId="4" applyNumberFormat="1" applyFont="1" applyBorder="1" applyAlignment="1">
      <alignment horizontal="center" vertical="center"/>
    </xf>
    <xf numFmtId="183" fontId="110" fillId="0" borderId="6" xfId="4" applyNumberFormat="1" applyFont="1" applyBorder="1" applyAlignment="1">
      <alignment horizontal="center" vertical="center"/>
    </xf>
    <xf numFmtId="183" fontId="110" fillId="0" borderId="4" xfId="4" applyNumberFormat="1" applyFont="1" applyBorder="1" applyAlignment="1">
      <alignment horizontal="center" vertical="center"/>
    </xf>
    <xf numFmtId="206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177" fontId="59" fillId="0" borderId="87" xfId="5" applyNumberFormat="1" applyFont="1" applyBorder="1" applyAlignment="1">
      <alignment horizontal="center" vertical="center"/>
    </xf>
    <xf numFmtId="177" fontId="59" fillId="0" borderId="88" xfId="5" applyNumberFormat="1" applyFont="1" applyBorder="1" applyAlignment="1">
      <alignment horizontal="center" vertical="center"/>
    </xf>
    <xf numFmtId="2" fontId="59" fillId="0" borderId="87" xfId="5" applyNumberFormat="1" applyFont="1" applyBorder="1" applyAlignment="1">
      <alignment horizontal="center" vertical="center"/>
    </xf>
    <xf numFmtId="2" fontId="59" fillId="0" borderId="89" xfId="5" applyNumberFormat="1" applyFont="1" applyBorder="1" applyAlignment="1">
      <alignment horizontal="center" vertical="center"/>
    </xf>
    <xf numFmtId="2" fontId="59" fillId="0" borderId="88" xfId="5" applyNumberFormat="1" applyFont="1" applyBorder="1" applyAlignment="1">
      <alignment horizontal="center" vertical="center"/>
    </xf>
    <xf numFmtId="0" fontId="59" fillId="0" borderId="87" xfId="5" applyFont="1" applyBorder="1" applyAlignment="1">
      <alignment horizontal="center" vertical="center"/>
    </xf>
    <xf numFmtId="0" fontId="59" fillId="0" borderId="89" xfId="5" applyFont="1" applyBorder="1" applyAlignment="1">
      <alignment horizontal="center" vertical="center"/>
    </xf>
    <xf numFmtId="0" fontId="59" fillId="0" borderId="88" xfId="5" applyFont="1" applyBorder="1" applyAlignment="1">
      <alignment horizontal="center" vertical="center"/>
    </xf>
    <xf numFmtId="208" fontId="110" fillId="0" borderId="6" xfId="4" applyNumberFormat="1" applyFont="1" applyBorder="1" applyAlignment="1">
      <alignment horizontal="center" vertical="center"/>
    </xf>
    <xf numFmtId="208" fontId="110" fillId="0" borderId="4" xfId="4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/>
    </xf>
    <xf numFmtId="0" fontId="20" fillId="0" borderId="82" xfId="0" applyFont="1" applyBorder="1" applyAlignment="1">
      <alignment horizontal="center" vertical="center"/>
    </xf>
    <xf numFmtId="0" fontId="38" fillId="0" borderId="13" xfId="0" applyFont="1" applyBorder="1" applyAlignment="1">
      <alignment horizontal="left" vertical="center"/>
    </xf>
    <xf numFmtId="0" fontId="20" fillId="0" borderId="81" xfId="0" applyFont="1" applyBorder="1" applyAlignment="1">
      <alignment horizontal="left" vertical="center"/>
    </xf>
    <xf numFmtId="0" fontId="20" fillId="0" borderId="81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20" fillId="0" borderId="82" xfId="0" applyFont="1" applyBorder="1" applyAlignment="1">
      <alignment horizontal="left" vertical="center"/>
    </xf>
    <xf numFmtId="0" fontId="38" fillId="0" borderId="82" xfId="0" applyFont="1" applyBorder="1" applyAlignment="1">
      <alignment horizontal="left" vertical="center"/>
    </xf>
    <xf numFmtId="0" fontId="28" fillId="0" borderId="13" xfId="0" applyFont="1" applyBorder="1" applyAlignment="1">
      <alignment horizontal="center" vertical="center"/>
    </xf>
    <xf numFmtId="179" fontId="21" fillId="0" borderId="28" xfId="4" applyNumberFormat="1" applyFont="1" applyBorder="1" applyAlignment="1">
      <alignment horizontal="center" vertical="center"/>
    </xf>
    <xf numFmtId="179" fontId="21" fillId="0" borderId="30" xfId="4" applyNumberFormat="1" applyFont="1" applyBorder="1" applyAlignment="1">
      <alignment horizontal="center" vertical="center"/>
    </xf>
    <xf numFmtId="0" fontId="21" fillId="4" borderId="37" xfId="4" applyFont="1" applyFill="1" applyBorder="1" applyAlignment="1">
      <alignment horizontal="center" vertical="center"/>
    </xf>
    <xf numFmtId="177" fontId="21" fillId="0" borderId="73" xfId="4" applyNumberFormat="1" applyFont="1" applyBorder="1" applyAlignment="1">
      <alignment horizontal="center" vertical="center"/>
    </xf>
    <xf numFmtId="183" fontId="110" fillId="0" borderId="28" xfId="4" applyNumberFormat="1" applyFont="1" applyBorder="1" applyAlignment="1">
      <alignment horizontal="center" vertical="center"/>
    </xf>
    <xf numFmtId="183" fontId="110" fillId="0" borderId="29" xfId="4" applyNumberFormat="1" applyFont="1" applyBorder="1" applyAlignment="1">
      <alignment horizontal="center" vertical="center"/>
    </xf>
    <xf numFmtId="0" fontId="17" fillId="4" borderId="19" xfId="4" applyFont="1" applyFill="1" applyBorder="1" applyAlignment="1">
      <alignment horizontal="center" vertical="center"/>
    </xf>
    <xf numFmtId="0" fontId="17" fillId="4" borderId="20" xfId="4" applyFont="1" applyFill="1" applyBorder="1" applyAlignment="1">
      <alignment horizontal="center" vertical="center"/>
    </xf>
    <xf numFmtId="0" fontId="17" fillId="4" borderId="21" xfId="4" applyFont="1" applyFill="1" applyBorder="1" applyAlignment="1">
      <alignment horizontal="center" vertical="center"/>
    </xf>
    <xf numFmtId="0" fontId="17" fillId="4" borderId="22" xfId="4" applyFont="1" applyFill="1" applyBorder="1" applyAlignment="1">
      <alignment horizontal="center" vertical="center" wrapText="1"/>
    </xf>
    <xf numFmtId="0" fontId="17" fillId="4" borderId="21" xfId="4" applyFont="1" applyFill="1" applyBorder="1" applyAlignment="1">
      <alignment horizontal="center" vertical="center" wrapText="1"/>
    </xf>
    <xf numFmtId="0" fontId="17" fillId="4" borderId="24" xfId="4" applyFont="1" applyFill="1" applyBorder="1" applyAlignment="1">
      <alignment horizontal="center" vertical="center"/>
    </xf>
    <xf numFmtId="0" fontId="17" fillId="4" borderId="25" xfId="4" applyFont="1" applyFill="1" applyBorder="1" applyAlignment="1">
      <alignment horizontal="center" vertical="center"/>
    </xf>
    <xf numFmtId="0" fontId="111" fillId="4" borderId="72" xfId="4" applyFont="1" applyFill="1" applyBorder="1" applyAlignment="1">
      <alignment horizontal="center" vertical="center" wrapText="1"/>
    </xf>
    <xf numFmtId="0" fontId="111" fillId="4" borderId="37" xfId="4" applyFont="1" applyFill="1" applyBorder="1" applyAlignment="1">
      <alignment horizontal="center" vertical="center" wrapText="1"/>
    </xf>
    <xf numFmtId="0" fontId="54" fillId="3" borderId="55" xfId="3" applyFont="1" applyFill="1" applyBorder="1" applyAlignment="1">
      <alignment horizontal="center" vertical="center"/>
    </xf>
    <xf numFmtId="0" fontId="23" fillId="3" borderId="3" xfId="5" applyFont="1" applyFill="1" applyBorder="1" applyAlignment="1">
      <alignment horizontal="center" vertical="center"/>
    </xf>
    <xf numFmtId="0" fontId="23" fillId="3" borderId="55" xfId="5" applyFont="1" applyFill="1" applyBorder="1" applyAlignment="1">
      <alignment horizontal="center" vertical="center"/>
    </xf>
    <xf numFmtId="0" fontId="23" fillId="3" borderId="1" xfId="5" applyFont="1" applyFill="1" applyBorder="1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" fontId="3" fillId="0" borderId="0" xfId="3" applyNumberFormat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26" fillId="3" borderId="13" xfId="5" applyFont="1" applyFill="1" applyBorder="1" applyAlignment="1">
      <alignment horizontal="center" vertical="center" wrapText="1"/>
    </xf>
    <xf numFmtId="0" fontId="23" fillId="0" borderId="13" xfId="5" applyFont="1" applyBorder="1" applyAlignment="1">
      <alignment horizontal="center" vertical="center"/>
    </xf>
    <xf numFmtId="205" fontId="53" fillId="0" borderId="0" xfId="0" applyNumberFormat="1" applyFont="1" applyAlignment="1">
      <alignment horizontal="center" vertical="center"/>
    </xf>
    <xf numFmtId="2" fontId="3" fillId="0" borderId="0" xfId="5" applyNumberFormat="1" applyAlignment="1">
      <alignment horizontal="center" vertical="center"/>
    </xf>
    <xf numFmtId="177" fontId="59" fillId="0" borderId="23" xfId="5" applyNumberFormat="1" applyFont="1" applyBorder="1" applyAlignment="1">
      <alignment horizontal="center" vertical="center"/>
    </xf>
    <xf numFmtId="2" fontId="59" fillId="0" borderId="23" xfId="5" applyNumberFormat="1" applyFont="1" applyBorder="1" applyAlignment="1">
      <alignment horizontal="center" vertical="center"/>
    </xf>
    <xf numFmtId="0" fontId="59" fillId="0" borderId="23" xfId="5" applyFont="1" applyBorder="1" applyAlignment="1">
      <alignment horizontal="center" vertical="center"/>
    </xf>
    <xf numFmtId="178" fontId="59" fillId="0" borderId="23" xfId="5" applyNumberFormat="1" applyFont="1" applyBorder="1" applyAlignment="1">
      <alignment horizontal="center" vertical="center"/>
    </xf>
    <xf numFmtId="198" fontId="59" fillId="0" borderId="23" xfId="5" applyNumberFormat="1" applyFont="1" applyBorder="1" applyAlignment="1">
      <alignment horizontal="center" vertical="center"/>
    </xf>
    <xf numFmtId="198" fontId="59" fillId="0" borderId="77" xfId="5" applyNumberFormat="1" applyFont="1" applyBorder="1" applyAlignment="1">
      <alignment horizontal="center" vertical="center"/>
    </xf>
    <xf numFmtId="183" fontId="48" fillId="0" borderId="35" xfId="4" applyNumberFormat="1" applyFont="1" applyBorder="1" applyAlignment="1">
      <alignment horizontal="center" vertical="center"/>
    </xf>
    <xf numFmtId="183" fontId="48" fillId="0" borderId="36" xfId="4" applyNumberFormat="1" applyFont="1" applyBorder="1" applyAlignment="1">
      <alignment horizontal="center" vertical="center"/>
    </xf>
    <xf numFmtId="179" fontId="35" fillId="0" borderId="47" xfId="4" applyNumberFormat="1" applyFont="1" applyBorder="1" applyAlignment="1">
      <alignment horizontal="center" vertical="center"/>
    </xf>
    <xf numFmtId="179" fontId="35" fillId="0" borderId="15" xfId="4" applyNumberFormat="1" applyFont="1" applyBorder="1" applyAlignment="1">
      <alignment horizontal="center" vertical="center"/>
    </xf>
    <xf numFmtId="177" fontId="21" fillId="0" borderId="44" xfId="4" applyNumberFormat="1" applyFont="1" applyBorder="1" applyAlignment="1">
      <alignment horizontal="center" vertical="center"/>
    </xf>
    <xf numFmtId="177" fontId="21" fillId="0" borderId="45" xfId="4" applyNumberFormat="1" applyFont="1" applyBorder="1" applyAlignment="1">
      <alignment horizontal="center" vertical="center"/>
    </xf>
    <xf numFmtId="179" fontId="35" fillId="0" borderId="6" xfId="4" applyNumberFormat="1" applyFont="1" applyBorder="1" applyAlignment="1">
      <alignment horizontal="center" vertical="center"/>
    </xf>
    <xf numFmtId="179" fontId="35" fillId="0" borderId="4" xfId="4" applyNumberFormat="1" applyFont="1" applyBorder="1" applyAlignment="1">
      <alignment horizontal="center" vertical="center"/>
    </xf>
    <xf numFmtId="183" fontId="21" fillId="0" borderId="6" xfId="4" applyNumberFormat="1" applyFont="1" applyBorder="1" applyAlignment="1">
      <alignment horizontal="center" vertical="center"/>
    </xf>
    <xf numFmtId="183" fontId="21" fillId="0" borderId="38" xfId="4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40" xfId="0" applyFont="1" applyBorder="1" applyAlignment="1">
      <alignment horizontal="left" vertical="center"/>
    </xf>
    <xf numFmtId="0" fontId="38" fillId="0" borderId="31" xfId="0" applyFont="1" applyBorder="1" applyAlignment="1">
      <alignment horizontal="left" vertical="center"/>
    </xf>
    <xf numFmtId="0" fontId="38" fillId="0" borderId="39" xfId="0" applyFont="1" applyBorder="1" applyAlignment="1">
      <alignment horizontal="left" vertical="center"/>
    </xf>
    <xf numFmtId="0" fontId="38" fillId="0" borderId="32" xfId="0" applyFont="1" applyBorder="1" applyAlignment="1">
      <alignment horizontal="left" vertical="center"/>
    </xf>
    <xf numFmtId="0" fontId="38" fillId="0" borderId="41" xfId="0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/>
    </xf>
    <xf numFmtId="0" fontId="28" fillId="0" borderId="31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179" fontId="35" fillId="0" borderId="28" xfId="4" applyNumberFormat="1" applyFont="1" applyBorder="1" applyAlignment="1">
      <alignment horizontal="center" vertical="center"/>
    </xf>
    <xf numFmtId="179" fontId="35" fillId="0" borderId="29" xfId="4" applyNumberFormat="1" applyFont="1" applyBorder="1" applyAlignment="1">
      <alignment horizontal="center" vertical="center"/>
    </xf>
    <xf numFmtId="196" fontId="95" fillId="7" borderId="0" xfId="3" applyNumberFormat="1" applyFont="1" applyFill="1" applyAlignment="1">
      <alignment horizontal="center" vertical="center"/>
    </xf>
    <xf numFmtId="0" fontId="95" fillId="0" borderId="0" xfId="3" applyFont="1" applyAlignment="1">
      <alignment horizontal="left" vertical="center"/>
    </xf>
    <xf numFmtId="4" fontId="95" fillId="0" borderId="0" xfId="3" applyNumberFormat="1" applyFont="1" applyAlignment="1">
      <alignment horizontal="center" vertical="center"/>
    </xf>
    <xf numFmtId="176" fontId="39" fillId="0" borderId="0" xfId="3" applyNumberFormat="1" applyFont="1" applyAlignment="1">
      <alignment horizontal="center" vertical="center"/>
    </xf>
    <xf numFmtId="176" fontId="101" fillId="0" borderId="0" xfId="3" applyNumberFormat="1" applyFont="1" applyAlignment="1">
      <alignment horizontal="center" vertical="center"/>
    </xf>
    <xf numFmtId="176" fontId="84" fillId="0" borderId="0" xfId="3" applyNumberFormat="1" applyFont="1" applyAlignment="1">
      <alignment horizontal="center" vertical="center"/>
    </xf>
    <xf numFmtId="191" fontId="39" fillId="0" borderId="0" xfId="3" applyNumberFormat="1" applyFont="1" applyAlignment="1">
      <alignment horizontal="left" vertical="center"/>
    </xf>
    <xf numFmtId="191" fontId="39" fillId="0" borderId="0" xfId="3" applyNumberFormat="1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4" fontId="39" fillId="0" borderId="0" xfId="3" applyNumberFormat="1" applyFont="1" applyAlignment="1">
      <alignment horizontal="center" vertical="center"/>
    </xf>
    <xf numFmtId="0" fontId="65" fillId="0" borderId="0" xfId="3" applyFont="1" applyAlignment="1">
      <alignment horizontal="center" vertical="center"/>
    </xf>
    <xf numFmtId="9" fontId="39" fillId="0" borderId="0" xfId="3" applyNumberFormat="1" applyFont="1" applyAlignment="1">
      <alignment horizontal="center" vertical="center"/>
    </xf>
    <xf numFmtId="2" fontId="39" fillId="0" borderId="0" xfId="3" applyNumberFormat="1" applyFont="1" applyAlignment="1">
      <alignment horizontal="center" vertical="center"/>
    </xf>
    <xf numFmtId="185" fontId="3" fillId="0" borderId="0" xfId="3" applyNumberFormat="1" applyAlignment="1">
      <alignment horizontal="center" vertical="center"/>
    </xf>
    <xf numFmtId="191" fontId="95" fillId="0" borderId="0" xfId="3" applyNumberFormat="1" applyFont="1" applyAlignment="1">
      <alignment horizontal="center" vertical="center"/>
    </xf>
    <xf numFmtId="185" fontId="95" fillId="0" borderId="0" xfId="3" applyNumberFormat="1" applyFont="1" applyAlignment="1">
      <alignment horizontal="center" vertical="center"/>
    </xf>
    <xf numFmtId="2" fontId="84" fillId="0" borderId="0" xfId="3" applyNumberFormat="1" applyFont="1" applyAlignment="1">
      <alignment horizontal="center" vertical="center"/>
    </xf>
    <xf numFmtId="176" fontId="39" fillId="0" borderId="17" xfId="5" applyNumberFormat="1" applyFont="1" applyBorder="1" applyAlignment="1">
      <alignment horizontal="center" vertical="center" shrinkToFit="1"/>
    </xf>
    <xf numFmtId="2" fontId="39" fillId="0" borderId="17" xfId="5" applyNumberFormat="1" applyFont="1" applyBorder="1" applyAlignment="1">
      <alignment horizontal="center" vertical="center" shrinkToFit="1"/>
    </xf>
    <xf numFmtId="2" fontId="95" fillId="0" borderId="17" xfId="5" applyNumberFormat="1" applyFont="1" applyBorder="1" applyAlignment="1">
      <alignment horizontal="center" vertical="center" shrinkToFit="1"/>
    </xf>
    <xf numFmtId="2" fontId="95" fillId="0" borderId="18" xfId="5" applyNumberFormat="1" applyFont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176" fontId="39" fillId="0" borderId="5" xfId="5" applyNumberFormat="1" applyFont="1" applyBorder="1" applyAlignment="1">
      <alignment horizontal="center" vertical="center" shrinkToFit="1"/>
    </xf>
    <xf numFmtId="2" fontId="39" fillId="0" borderId="5" xfId="5" applyNumberFormat="1" applyFont="1" applyBorder="1" applyAlignment="1">
      <alignment horizontal="center" vertical="center" shrinkToFit="1"/>
    </xf>
    <xf numFmtId="9" fontId="95" fillId="0" borderId="5" xfId="6" applyFont="1" applyFill="1" applyBorder="1" applyAlignment="1">
      <alignment horizontal="center" vertical="center" shrinkToFit="1"/>
    </xf>
    <xf numFmtId="9" fontId="95" fillId="0" borderId="6" xfId="6" applyFont="1" applyFill="1" applyBorder="1" applyAlignment="1">
      <alignment horizontal="center" vertical="center" shrinkToFit="1"/>
    </xf>
    <xf numFmtId="0" fontId="11" fillId="0" borderId="0" xfId="5" applyFont="1" applyAlignment="1">
      <alignment horizontal="center" vertical="center"/>
    </xf>
    <xf numFmtId="0" fontId="10" fillId="3" borderId="8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39" fillId="0" borderId="35" xfId="4" applyFont="1" applyBorder="1" applyAlignment="1">
      <alignment horizontal="center" vertical="center"/>
    </xf>
    <xf numFmtId="176" fontId="39" fillId="0" borderId="0" xfId="4" applyNumberFormat="1" applyFont="1" applyAlignment="1">
      <alignment horizontal="center" vertical="center"/>
    </xf>
    <xf numFmtId="181" fontId="39" fillId="0" borderId="0" xfId="4" applyNumberFormat="1" applyFont="1" applyAlignment="1">
      <alignment horizontal="center" vertical="center"/>
    </xf>
    <xf numFmtId="2" fontId="39" fillId="0" borderId="49" xfId="3" applyNumberFormat="1" applyFont="1" applyBorder="1" applyAlignment="1">
      <alignment horizontal="center" vertical="center"/>
    </xf>
    <xf numFmtId="2" fontId="39" fillId="0" borderId="17" xfId="3" applyNumberFormat="1" applyFont="1" applyBorder="1" applyAlignment="1">
      <alignment horizontal="center" vertical="center"/>
    </xf>
    <xf numFmtId="176" fontId="95" fillId="0" borderId="17" xfId="3" applyNumberFormat="1" applyFont="1" applyBorder="1" applyAlignment="1">
      <alignment horizontal="center" vertical="center"/>
    </xf>
    <xf numFmtId="176" fontId="95" fillId="0" borderId="18" xfId="3" applyNumberFormat="1" applyFont="1" applyBorder="1" applyAlignment="1">
      <alignment horizontal="center" vertical="center"/>
    </xf>
    <xf numFmtId="0" fontId="10" fillId="3" borderId="57" xfId="5" applyFont="1" applyFill="1" applyBorder="1" applyAlignment="1">
      <alignment horizontal="center" vertical="center"/>
    </xf>
    <xf numFmtId="0" fontId="10" fillId="3" borderId="58" xfId="5" applyFont="1" applyFill="1" applyBorder="1" applyAlignment="1">
      <alignment horizontal="center" vertical="center"/>
    </xf>
    <xf numFmtId="0" fontId="10" fillId="3" borderId="59" xfId="5" applyFont="1" applyFill="1" applyBorder="1" applyAlignment="1">
      <alignment horizontal="center" vertical="center"/>
    </xf>
    <xf numFmtId="0" fontId="10" fillId="3" borderId="63" xfId="5" applyFont="1" applyFill="1" applyBorder="1" applyAlignment="1">
      <alignment horizontal="center" vertical="center"/>
    </xf>
    <xf numFmtId="0" fontId="10" fillId="3" borderId="64" xfId="5" applyFont="1" applyFill="1" applyBorder="1" applyAlignment="1">
      <alignment horizontal="center" vertical="center"/>
    </xf>
    <xf numFmtId="0" fontId="10" fillId="3" borderId="65" xfId="5" applyFont="1" applyFill="1" applyBorder="1" applyAlignment="1">
      <alignment horizontal="center" vertical="center"/>
    </xf>
    <xf numFmtId="0" fontId="10" fillId="3" borderId="60" xfId="5" applyFont="1" applyFill="1" applyBorder="1" applyAlignment="1">
      <alignment horizontal="center" vertical="center" shrinkToFit="1"/>
    </xf>
    <xf numFmtId="0" fontId="10" fillId="3" borderId="61" xfId="5" applyFont="1" applyFill="1" applyBorder="1" applyAlignment="1">
      <alignment horizontal="center" vertical="center" shrinkToFit="1"/>
    </xf>
    <xf numFmtId="0" fontId="10" fillId="3" borderId="62" xfId="5" applyFont="1" applyFill="1" applyBorder="1" applyAlignment="1">
      <alignment horizontal="center" vertical="center" shrinkToFit="1"/>
    </xf>
    <xf numFmtId="0" fontId="10" fillId="3" borderId="66" xfId="5" applyFont="1" applyFill="1" applyBorder="1" applyAlignment="1">
      <alignment horizontal="center" vertical="center"/>
    </xf>
    <xf numFmtId="0" fontId="10" fillId="3" borderId="67" xfId="5" applyFont="1" applyFill="1" applyBorder="1" applyAlignment="1">
      <alignment horizontal="center" vertical="center"/>
    </xf>
    <xf numFmtId="0" fontId="10" fillId="3" borderId="68" xfId="5" applyFont="1" applyFill="1" applyBorder="1" applyAlignment="1">
      <alignment horizontal="center" vertical="center"/>
    </xf>
    <xf numFmtId="0" fontId="10" fillId="3" borderId="69" xfId="5" applyFont="1" applyFill="1" applyBorder="1" applyAlignment="1">
      <alignment horizontal="center" vertical="center"/>
    </xf>
    <xf numFmtId="0" fontId="10" fillId="3" borderId="70" xfId="5" applyFont="1" applyFill="1" applyBorder="1" applyAlignment="1">
      <alignment horizontal="center" vertical="center"/>
    </xf>
    <xf numFmtId="0" fontId="10" fillId="3" borderId="71" xfId="5" applyFont="1" applyFill="1" applyBorder="1" applyAlignment="1">
      <alignment horizontal="center" vertical="center"/>
    </xf>
    <xf numFmtId="176" fontId="95" fillId="0" borderId="56" xfId="3" applyNumberFormat="1" applyFont="1" applyBorder="1" applyAlignment="1">
      <alignment horizontal="center" vertical="center"/>
    </xf>
    <xf numFmtId="176" fontId="95" fillId="0" borderId="49" xfId="3" applyNumberFormat="1" applyFont="1" applyBorder="1" applyAlignment="1">
      <alignment horizontal="center" vertical="center"/>
    </xf>
    <xf numFmtId="0" fontId="89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84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3" fontId="42" fillId="3" borderId="53" xfId="0" applyNumberFormat="1" applyFont="1" applyFill="1" applyBorder="1" applyAlignment="1">
      <alignment horizontal="center" vertical="center"/>
    </xf>
    <xf numFmtId="3" fontId="42" fillId="3" borderId="39" xfId="0" applyNumberFormat="1" applyFont="1" applyFill="1" applyBorder="1" applyAlignment="1">
      <alignment horizontal="center" vertical="center"/>
    </xf>
    <xf numFmtId="3" fontId="42" fillId="3" borderId="54" xfId="0" applyNumberFormat="1" applyFont="1" applyFill="1" applyBorder="1" applyAlignment="1">
      <alignment horizontal="center" vertical="center"/>
    </xf>
    <xf numFmtId="0" fontId="43" fillId="3" borderId="53" xfId="0" applyFont="1" applyFill="1" applyBorder="1" applyAlignment="1">
      <alignment horizontal="center" vertical="center"/>
    </xf>
    <xf numFmtId="0" fontId="43" fillId="3" borderId="39" xfId="0" applyFont="1" applyFill="1" applyBorder="1" applyAlignment="1">
      <alignment horizontal="center" vertical="center"/>
    </xf>
    <xf numFmtId="0" fontId="43" fillId="3" borderId="54" xfId="0" applyFont="1" applyFill="1" applyBorder="1" applyAlignment="1">
      <alignment horizontal="center" vertical="center"/>
    </xf>
    <xf numFmtId="185" fontId="13" fillId="0" borderId="0" xfId="3" applyNumberFormat="1" applyFont="1" applyAlignment="1">
      <alignment horizontal="center" vertical="center"/>
    </xf>
    <xf numFmtId="0" fontId="78" fillId="0" borderId="47" xfId="0" applyFont="1" applyBorder="1" applyAlignment="1">
      <alignment horizontal="center" vertical="center"/>
    </xf>
    <xf numFmtId="0" fontId="78" fillId="0" borderId="35" xfId="0" applyFont="1" applyBorder="1" applyAlignment="1">
      <alignment horizontal="center" vertical="center"/>
    </xf>
    <xf numFmtId="0" fontId="78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84" fontId="78" fillId="5" borderId="5" xfId="0" applyNumberFormat="1" applyFont="1" applyFill="1" applyBorder="1" applyAlignment="1">
      <alignment horizontal="center" vertical="center" wrapText="1"/>
    </xf>
    <xf numFmtId="0" fontId="78" fillId="5" borderId="5" xfId="0" applyFont="1" applyFill="1" applyBorder="1" applyAlignment="1">
      <alignment horizontal="center" vertical="center" wrapText="1"/>
    </xf>
    <xf numFmtId="0" fontId="76" fillId="5" borderId="5" xfId="0" applyFont="1" applyFill="1" applyBorder="1" applyAlignment="1">
      <alignment horizontal="center" vertical="center" wrapText="1"/>
    </xf>
    <xf numFmtId="176" fontId="76" fillId="5" borderId="5" xfId="0" applyNumberFormat="1" applyFont="1" applyFill="1" applyBorder="1" applyAlignment="1">
      <alignment horizontal="center" vertical="center" wrapText="1"/>
    </xf>
    <xf numFmtId="0" fontId="78" fillId="0" borderId="42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48" xfId="0" applyFont="1" applyBorder="1" applyAlignment="1">
      <alignment horizontal="center" vertical="center"/>
    </xf>
    <xf numFmtId="192" fontId="78" fillId="0" borderId="42" xfId="0" applyNumberFormat="1" applyFont="1" applyBorder="1" applyAlignment="1">
      <alignment horizontal="center" vertical="center"/>
    </xf>
    <xf numFmtId="192" fontId="78" fillId="0" borderId="0" xfId="0" applyNumberFormat="1" applyFont="1" applyAlignment="1">
      <alignment horizontal="center" vertical="center"/>
    </xf>
    <xf numFmtId="192" fontId="78" fillId="0" borderId="48" xfId="0" applyNumberFormat="1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214" fontId="78" fillId="5" borderId="5" xfId="0" applyNumberFormat="1" applyFont="1" applyFill="1" applyBorder="1" applyAlignment="1">
      <alignment horizontal="center" vertical="center" wrapText="1"/>
    </xf>
    <xf numFmtId="0" fontId="74" fillId="3" borderId="10" xfId="0" applyFont="1" applyFill="1" applyBorder="1" applyAlignment="1">
      <alignment horizontal="center" vertical="center" wrapText="1"/>
    </xf>
    <xf numFmtId="0" fontId="74" fillId="3" borderId="8" xfId="0" applyFont="1" applyFill="1" applyBorder="1" applyAlignment="1">
      <alignment horizontal="center" vertical="center"/>
    </xf>
    <xf numFmtId="0" fontId="74" fillId="3" borderId="9" xfId="0" applyFont="1" applyFill="1" applyBorder="1" applyAlignment="1">
      <alignment horizontal="center" vertical="center"/>
    </xf>
    <xf numFmtId="0" fontId="74" fillId="3" borderId="47" xfId="0" applyFont="1" applyFill="1" applyBorder="1" applyAlignment="1">
      <alignment horizontal="center" vertical="center"/>
    </xf>
    <xf numFmtId="0" fontId="74" fillId="3" borderId="35" xfId="0" applyFont="1" applyFill="1" applyBorder="1" applyAlignment="1">
      <alignment horizontal="center" vertical="center"/>
    </xf>
    <xf numFmtId="0" fontId="74" fillId="3" borderId="15" xfId="0" applyFont="1" applyFill="1" applyBorder="1" applyAlignment="1">
      <alignment horizontal="center" vertical="center"/>
    </xf>
    <xf numFmtId="0" fontId="75" fillId="3" borderId="50" xfId="0" applyFont="1" applyFill="1" applyBorder="1" applyAlignment="1">
      <alignment horizontal="center" vertical="center" wrapText="1"/>
    </xf>
    <xf numFmtId="0" fontId="75" fillId="3" borderId="51" xfId="0" applyFont="1" applyFill="1" applyBorder="1" applyAlignment="1">
      <alignment horizontal="center" vertical="center" wrapText="1"/>
    </xf>
    <xf numFmtId="0" fontId="71" fillId="3" borderId="52" xfId="0" applyFont="1" applyFill="1" applyBorder="1" applyAlignment="1">
      <alignment horizontal="center" vertical="center" wrapText="1"/>
    </xf>
    <xf numFmtId="0" fontId="71" fillId="3" borderId="50" xfId="0" applyFont="1" applyFill="1" applyBorder="1" applyAlignment="1">
      <alignment horizontal="center" vertical="center" wrapText="1"/>
    </xf>
    <xf numFmtId="0" fontId="71" fillId="3" borderId="51" xfId="0" applyFont="1" applyFill="1" applyBorder="1" applyAlignment="1">
      <alignment horizontal="center" vertical="center" wrapText="1"/>
    </xf>
    <xf numFmtId="0" fontId="72" fillId="3" borderId="52" xfId="0" applyFont="1" applyFill="1" applyBorder="1" applyAlignment="1">
      <alignment horizontal="center" vertical="center" wrapText="1"/>
    </xf>
    <xf numFmtId="0" fontId="72" fillId="3" borderId="50" xfId="0" applyFont="1" applyFill="1" applyBorder="1" applyAlignment="1">
      <alignment horizontal="center" vertical="center" wrapText="1"/>
    </xf>
    <xf numFmtId="0" fontId="72" fillId="3" borderId="51" xfId="0" applyFont="1" applyFill="1" applyBorder="1" applyAlignment="1">
      <alignment horizontal="center" vertical="center" wrapText="1"/>
    </xf>
    <xf numFmtId="0" fontId="72" fillId="3" borderId="52" xfId="0" applyFont="1" applyFill="1" applyBorder="1" applyAlignment="1">
      <alignment horizontal="center" vertical="center"/>
    </xf>
    <xf numFmtId="0" fontId="72" fillId="3" borderId="50" xfId="0" applyFont="1" applyFill="1" applyBorder="1" applyAlignment="1">
      <alignment horizontal="center" vertical="center"/>
    </xf>
    <xf numFmtId="0" fontId="72" fillId="3" borderId="51" xfId="0" applyFont="1" applyFill="1" applyBorder="1" applyAlignment="1">
      <alignment horizontal="center" vertical="center"/>
    </xf>
    <xf numFmtId="0" fontId="70" fillId="3" borderId="8" xfId="0" applyFont="1" applyFill="1" applyBorder="1" applyAlignment="1">
      <alignment horizontal="center" vertical="center" wrapText="1"/>
    </xf>
    <xf numFmtId="0" fontId="70" fillId="3" borderId="9" xfId="0" applyFont="1" applyFill="1" applyBorder="1" applyAlignment="1">
      <alignment horizontal="center" vertical="center" wrapText="1"/>
    </xf>
    <xf numFmtId="0" fontId="72" fillId="3" borderId="8" xfId="0" applyFont="1" applyFill="1" applyBorder="1" applyAlignment="1">
      <alignment horizontal="center" vertical="center" wrapText="1"/>
    </xf>
    <xf numFmtId="0" fontId="72" fillId="3" borderId="9" xfId="0" applyFont="1" applyFill="1" applyBorder="1" applyAlignment="1">
      <alignment horizontal="center" vertical="center" wrapText="1"/>
    </xf>
    <xf numFmtId="0" fontId="70" fillId="3" borderId="10" xfId="0" applyFont="1" applyFill="1" applyBorder="1" applyAlignment="1">
      <alignment horizontal="center" vertical="center"/>
    </xf>
    <xf numFmtId="0" fontId="70" fillId="3" borderId="8" xfId="0" applyFont="1" applyFill="1" applyBorder="1" applyAlignment="1">
      <alignment horizontal="center" vertical="center"/>
    </xf>
    <xf numFmtId="0" fontId="70" fillId="3" borderId="9" xfId="0" applyFont="1" applyFill="1" applyBorder="1" applyAlignment="1">
      <alignment horizontal="center" vertical="center"/>
    </xf>
    <xf numFmtId="0" fontId="73" fillId="3" borderId="10" xfId="3" applyFont="1" applyFill="1" applyBorder="1" applyAlignment="1">
      <alignment horizontal="center" vertical="center"/>
    </xf>
    <xf numFmtId="0" fontId="73" fillId="3" borderId="8" xfId="3" applyFont="1" applyFill="1" applyBorder="1" applyAlignment="1">
      <alignment horizontal="center" vertical="center"/>
    </xf>
    <xf numFmtId="0" fontId="73" fillId="3" borderId="52" xfId="3" applyFont="1" applyFill="1" applyBorder="1" applyAlignment="1">
      <alignment horizontal="center" vertical="center"/>
    </xf>
    <xf numFmtId="0" fontId="73" fillId="3" borderId="50" xfId="3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0" fontId="37" fillId="3" borderId="35" xfId="0" applyFont="1" applyFill="1" applyBorder="1" applyAlignment="1">
      <alignment horizontal="center" vertical="center"/>
    </xf>
    <xf numFmtId="0" fontId="37" fillId="3" borderId="15" xfId="0" applyFont="1" applyFill="1" applyBorder="1" applyAlignment="1">
      <alignment horizontal="center" vertical="center"/>
    </xf>
    <xf numFmtId="0" fontId="70" fillId="3" borderId="50" xfId="0" applyFont="1" applyFill="1" applyBorder="1" applyAlignment="1">
      <alignment horizontal="center" vertical="center" wrapText="1"/>
    </xf>
    <xf numFmtId="0" fontId="70" fillId="3" borderId="51" xfId="0" applyFont="1" applyFill="1" applyBorder="1" applyAlignment="1">
      <alignment horizontal="center" vertical="center" wrapText="1"/>
    </xf>
    <xf numFmtId="0" fontId="71" fillId="3" borderId="8" xfId="0" applyFont="1" applyFill="1" applyBorder="1" applyAlignment="1">
      <alignment horizontal="center" vertical="center" wrapText="1"/>
    </xf>
    <xf numFmtId="0" fontId="71" fillId="3" borderId="9" xfId="0" applyFont="1" applyFill="1" applyBorder="1" applyAlignment="1">
      <alignment horizontal="center" vertical="center" wrapText="1"/>
    </xf>
    <xf numFmtId="0" fontId="71" fillId="3" borderId="10" xfId="0" applyFont="1" applyFill="1" applyBorder="1" applyAlignment="1">
      <alignment horizontal="center" vertical="center" wrapText="1"/>
    </xf>
    <xf numFmtId="0" fontId="70" fillId="3" borderId="10" xfId="0" applyFont="1" applyFill="1" applyBorder="1" applyAlignment="1">
      <alignment horizontal="center" vertical="center" wrapText="1"/>
    </xf>
    <xf numFmtId="0" fontId="68" fillId="6" borderId="2" xfId="5" applyFont="1" applyFill="1" applyBorder="1" applyAlignment="1">
      <alignment horizontal="center" vertical="center"/>
    </xf>
    <xf numFmtId="0" fontId="68" fillId="6" borderId="3" xfId="5" applyFont="1" applyFill="1" applyBorder="1" applyAlignment="1">
      <alignment horizontal="center" vertical="center"/>
    </xf>
    <xf numFmtId="0" fontId="67" fillId="5" borderId="4" xfId="3" applyFont="1" applyFill="1" applyBorder="1" applyAlignment="1">
      <alignment horizontal="center" vertical="center"/>
    </xf>
    <xf numFmtId="0" fontId="67" fillId="5" borderId="5" xfId="3" applyFont="1" applyFill="1" applyBorder="1" applyAlignment="1">
      <alignment horizontal="center" vertical="center"/>
    </xf>
    <xf numFmtId="0" fontId="67" fillId="5" borderId="49" xfId="3" applyFont="1" applyFill="1" applyBorder="1" applyAlignment="1">
      <alignment horizontal="center" vertical="center"/>
    </xf>
    <xf numFmtId="0" fontId="67" fillId="5" borderId="17" xfId="3" applyFont="1" applyFill="1" applyBorder="1" applyAlignment="1">
      <alignment horizontal="center" vertical="center"/>
    </xf>
    <xf numFmtId="0" fontId="67" fillId="5" borderId="5" xfId="5" applyFont="1" applyFill="1" applyBorder="1" applyAlignment="1">
      <alignment horizontal="center" vertical="center"/>
    </xf>
    <xf numFmtId="0" fontId="67" fillId="5" borderId="17" xfId="5" applyFont="1" applyFill="1" applyBorder="1" applyAlignment="1">
      <alignment horizontal="center" vertical="center"/>
    </xf>
    <xf numFmtId="186" fontId="67" fillId="5" borderId="5" xfId="1" applyNumberFormat="1" applyFont="1" applyFill="1" applyBorder="1" applyAlignment="1">
      <alignment horizontal="center" vertical="center"/>
    </xf>
    <xf numFmtId="186" fontId="67" fillId="5" borderId="17" xfId="1" applyNumberFormat="1" applyFont="1" applyFill="1" applyBorder="1" applyAlignment="1">
      <alignment horizontal="center" vertical="center"/>
    </xf>
    <xf numFmtId="0" fontId="67" fillId="5" borderId="6" xfId="5" applyFont="1" applyFill="1" applyBorder="1" applyAlignment="1">
      <alignment horizontal="center" vertical="center"/>
    </xf>
    <xf numFmtId="0" fontId="67" fillId="5" borderId="18" xfId="5" applyFont="1" applyFill="1" applyBorder="1" applyAlignment="1">
      <alignment horizontal="center" vertical="center"/>
    </xf>
    <xf numFmtId="0" fontId="53" fillId="0" borderId="49" xfId="3" applyFont="1" applyBorder="1" applyAlignment="1">
      <alignment horizontal="center" vertical="center"/>
    </xf>
    <xf numFmtId="0" fontId="53" fillId="0" borderId="17" xfId="3" applyFont="1" applyBorder="1" applyAlignment="1">
      <alignment horizontal="center" vertical="center"/>
    </xf>
    <xf numFmtId="0" fontId="53" fillId="0" borderId="17" xfId="5" applyFont="1" applyBorder="1" applyAlignment="1">
      <alignment horizontal="center" vertical="center"/>
    </xf>
    <xf numFmtId="0" fontId="53" fillId="0" borderId="18" xfId="5" applyFont="1" applyBorder="1" applyAlignment="1">
      <alignment horizontal="center" vertical="center"/>
    </xf>
    <xf numFmtId="0" fontId="67" fillId="6" borderId="1" xfId="3" applyFont="1" applyFill="1" applyBorder="1" applyAlignment="1">
      <alignment horizontal="center" vertical="center"/>
    </xf>
    <xf numFmtId="0" fontId="67" fillId="6" borderId="2" xfId="3" applyFont="1" applyFill="1" applyBorder="1" applyAlignment="1">
      <alignment horizontal="center" vertical="center"/>
    </xf>
    <xf numFmtId="0" fontId="67" fillId="6" borderId="2" xfId="5" applyFont="1" applyFill="1" applyBorder="1" applyAlignment="1">
      <alignment horizontal="center" vertical="center"/>
    </xf>
    <xf numFmtId="0" fontId="53" fillId="3" borderId="1" xfId="3" applyFont="1" applyFill="1" applyBorder="1" applyAlignment="1">
      <alignment horizontal="center" vertical="center"/>
    </xf>
    <xf numFmtId="0" fontId="53" fillId="3" borderId="2" xfId="3" applyFont="1" applyFill="1" applyBorder="1" applyAlignment="1">
      <alignment horizontal="center" vertical="center"/>
    </xf>
    <xf numFmtId="0" fontId="53" fillId="3" borderId="2" xfId="5" applyFont="1" applyFill="1" applyBorder="1" applyAlignment="1">
      <alignment horizontal="center" vertical="center"/>
    </xf>
    <xf numFmtId="0" fontId="53" fillId="3" borderId="3" xfId="5" applyFont="1" applyFill="1" applyBorder="1" applyAlignment="1">
      <alignment horizontal="center" vertical="center"/>
    </xf>
    <xf numFmtId="0" fontId="53" fillId="0" borderId="4" xfId="3" applyFont="1" applyBorder="1" applyAlignment="1">
      <alignment horizontal="center" vertical="center"/>
    </xf>
    <xf numFmtId="0" fontId="53" fillId="0" borderId="5" xfId="3" applyFont="1" applyBorder="1" applyAlignment="1">
      <alignment horizontal="center" vertical="center"/>
    </xf>
    <xf numFmtId="0" fontId="53" fillId="0" borderId="5" xfId="5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3" fontId="53" fillId="0" borderId="48" xfId="0" applyNumberFormat="1" applyFont="1" applyBorder="1" applyAlignment="1">
      <alignment horizontal="center" vertical="center"/>
    </xf>
    <xf numFmtId="3" fontId="53" fillId="0" borderId="46" xfId="0" applyNumberFormat="1" applyFont="1" applyBorder="1" applyAlignment="1">
      <alignment horizontal="center" vertical="center"/>
    </xf>
    <xf numFmtId="3" fontId="53" fillId="0" borderId="42" xfId="0" applyNumberFormat="1" applyFont="1" applyBorder="1" applyAlignment="1">
      <alignment horizontal="center" vertical="center"/>
    </xf>
    <xf numFmtId="183" fontId="34" fillId="0" borderId="6" xfId="4" applyNumberFormat="1" applyFont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3" fontId="42" fillId="3" borderId="17" xfId="0" applyNumberFormat="1" applyFont="1" applyFill="1" applyBorder="1" applyAlignment="1">
      <alignment horizontal="center" vertical="center"/>
    </xf>
    <xf numFmtId="3" fontId="42" fillId="3" borderId="5" xfId="0" applyNumberFormat="1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13" fillId="3" borderId="17" xfId="3" applyFont="1" applyFill="1" applyBorder="1" applyAlignment="1">
      <alignment horizontal="center" vertical="center"/>
    </xf>
    <xf numFmtId="3" fontId="40" fillId="5" borderId="5" xfId="0" applyNumberFormat="1" applyFont="1" applyFill="1" applyBorder="1" applyAlignment="1">
      <alignment horizontal="center" vertical="center"/>
    </xf>
    <xf numFmtId="3" fontId="145" fillId="0" borderId="5" xfId="0" applyNumberFormat="1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 wrapText="1"/>
    </xf>
    <xf numFmtId="184" fontId="40" fillId="5" borderId="5" xfId="0" applyNumberFormat="1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176" fontId="40" fillId="0" borderId="5" xfId="0" applyNumberFormat="1" applyFont="1" applyBorder="1" applyAlignment="1">
      <alignment horizontal="center" vertical="center" wrapText="1"/>
    </xf>
    <xf numFmtId="214" fontId="40" fillId="5" borderId="5" xfId="0" applyNumberFormat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179" fontId="34" fillId="0" borderId="6" xfId="4" applyNumberFormat="1" applyFont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179" fontId="34" fillId="0" borderId="28" xfId="4" applyNumberFormat="1" applyFont="1" applyBorder="1" applyAlignment="1">
      <alignment horizontal="center" vertical="center"/>
    </xf>
    <xf numFmtId="0" fontId="30" fillId="5" borderId="16" xfId="0" applyFont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/>
    </xf>
    <xf numFmtId="0" fontId="30" fillId="5" borderId="17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</cellXfs>
  <cellStyles count="8">
    <cellStyle name="백분율" xfId="2" builtinId="5"/>
    <cellStyle name="백분율 2" xfId="6" xr:uid="{AA3EF034-8917-463C-A84A-301997D36CEA}"/>
    <cellStyle name="쉼표 [0]" xfId="1" builtinId="6"/>
    <cellStyle name="쉼표 [0] 2" xfId="7" xr:uid="{343B9D07-8C81-4856-B483-E04365B5CBB0}"/>
    <cellStyle name="표준" xfId="0" builtinId="0"/>
    <cellStyle name="표준 2" xfId="3" xr:uid="{F6A483F6-5F2E-4B52-ABF5-AEC50062FE67}"/>
    <cellStyle name="표준_직접기초수정본(마둔 한운 상록1교)" xfId="4" xr:uid="{39402CD6-CF12-4FE6-9FC9-EE5FD00A2D24}"/>
    <cellStyle name="표준_직접기초수정본(마둔 한운 상록1교)_직접기초" xfId="5" xr:uid="{3530EDFD-D5D1-41F9-BEDF-AC574B78FFCB}"/>
  </cellStyles>
  <dxfs count="0"/>
  <tableStyles count="0" defaultTableStyle="TableStyleMedium2" defaultPivotStyle="PivotStyleLight16"/>
  <colors>
    <mruColors>
      <color rgb="FF0000FF"/>
      <color rgb="FFE2EFDA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34341033604876"/>
          <c:y val="0.1062707222648562"/>
          <c:w val="0.6851944954490047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지상1층!$AI$496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0-4291-AE6D-2303223B3225}"/>
                </c:ext>
              </c:extLst>
            </c:dLbl>
            <c:dLbl>
              <c:idx val="1"/>
              <c:layout>
                <c:manualLayout>
                  <c:x val="-4.6341532635710142E-2"/>
                  <c:y val="6.94027537826062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E0-4291-AE6D-2303223B32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0-4291-AE6D-2303223B322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지상1층!$AK$497:$AK$499</c:f>
              <c:numCache>
                <c:formatCode>0.00_);[Red]\(0.00\)</c:formatCode>
                <c:ptCount val="3"/>
                <c:pt idx="0" formatCode="0.000_);[Red]\(0.000\)">
                  <c:v>9.9715384615384622E-2</c:v>
                </c:pt>
                <c:pt idx="1">
                  <c:v>0.60164793333104405</c:v>
                </c:pt>
                <c:pt idx="2">
                  <c:v>0</c:v>
                </c:pt>
              </c:numCache>
            </c:numRef>
          </c:xVal>
          <c:yVal>
            <c:numRef>
              <c:f>지상1층!$AJ$497:$AJ$499</c:f>
              <c:numCache>
                <c:formatCode>0.00_);[Red]\(0.00\)</c:formatCode>
                <c:ptCount val="3"/>
                <c:pt idx="0">
                  <c:v>0.16</c:v>
                </c:pt>
                <c:pt idx="1">
                  <c:v>2.06555</c:v>
                </c:pt>
                <c:pt idx="2">
                  <c:v>7.7383497435897439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3D2-4860-B4C8-F86D6D18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65424553890541448"/>
          <c:y val="0.69727823931394894"/>
          <c:w val="0.27934545884048784"/>
          <c:h val="3.511631011554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지상1층!$AI$567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C-4110-8651-FC67530FD0D4}"/>
                </c:ext>
              </c:extLst>
            </c:dLbl>
            <c:dLbl>
              <c:idx val="1"/>
              <c:layout>
                <c:manualLayout>
                  <c:x val="-4.9285723525632458E-2"/>
                  <c:y val="7.60489248771664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C-4110-8651-FC67530FD0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DC-4110-8651-FC67530FD0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지상1층!$AK$568:$AK$570</c:f>
              <c:numCache>
                <c:formatCode>0.00_);[Red]\(0.00\)</c:formatCode>
                <c:ptCount val="3"/>
                <c:pt idx="0" formatCode="0.000_);[Red]\(0.000\)">
                  <c:v>9.9715384615384622E-2</c:v>
                </c:pt>
                <c:pt idx="1">
                  <c:v>0.57426675150975537</c:v>
                </c:pt>
                <c:pt idx="2">
                  <c:v>0</c:v>
                </c:pt>
              </c:numCache>
            </c:numRef>
          </c:xVal>
          <c:yVal>
            <c:numRef>
              <c:f>지상1층!$AJ$568:$AJ$570</c:f>
              <c:numCache>
                <c:formatCode>0.00_);[Red]\(0.00\)</c:formatCode>
                <c:ptCount val="3"/>
                <c:pt idx="0">
                  <c:v>0.66</c:v>
                </c:pt>
                <c:pt idx="1">
                  <c:v>2.56555</c:v>
                </c:pt>
                <c:pt idx="2">
                  <c:v>8.2383497435897439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D2A-4307-98F9-E1378D67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34341033604876"/>
          <c:y val="0.1062707222648562"/>
          <c:w val="0.6851944954490047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PIT!$AI$496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EC-497D-9E8C-C0A79A13CC9A}"/>
                </c:ext>
              </c:extLst>
            </c:dLbl>
            <c:dLbl>
              <c:idx val="1"/>
              <c:layout>
                <c:manualLayout>
                  <c:x val="-4.6341532635710142E-2"/>
                  <c:y val="6.94027537826062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EC-497D-9E8C-C0A79A13CC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EC-497D-9E8C-C0A79A13CC9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PIT!$AK$497:$AK$499</c:f>
              <c:numCache>
                <c:formatCode>0.00_);[Red]\(0.00\)</c:formatCode>
                <c:ptCount val="3"/>
                <c:pt idx="0" formatCode="0.000_);[Red]\(0.000\)">
                  <c:v>9.7114000000000006E-2</c:v>
                </c:pt>
                <c:pt idx="1">
                  <c:v>0.74172236504937628</c:v>
                </c:pt>
                <c:pt idx="2">
                  <c:v>0</c:v>
                </c:pt>
              </c:numCache>
            </c:numRef>
          </c:xVal>
          <c:yVal>
            <c:numRef>
              <c:f>PIT!$AJ$497:$AJ$499</c:f>
              <c:numCache>
                <c:formatCode>0.00_);[Red]\(0.00\)</c:formatCode>
                <c:ptCount val="3"/>
                <c:pt idx="0">
                  <c:v>1.1599999999999999</c:v>
                </c:pt>
                <c:pt idx="1">
                  <c:v>2.1210749999999998</c:v>
                </c:pt>
                <c:pt idx="2">
                  <c:v>4.7531218000000006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DEC-497D-9E8C-C0A79A13C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65424553890541448"/>
          <c:y val="0.69727823931394894"/>
          <c:w val="0.27934545884048784"/>
          <c:h val="3.511631011554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PIT!$AI$567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4A-4540-9048-8E1393AA4FEA}"/>
                </c:ext>
              </c:extLst>
            </c:dLbl>
            <c:dLbl>
              <c:idx val="1"/>
              <c:layout>
                <c:manualLayout>
                  <c:x val="-4.9285723525632458E-2"/>
                  <c:y val="7.60489248771664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4A-4540-9048-8E1393AA4F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4A-4540-9048-8E1393AA4FE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PIT!$AK$568:$AK$570</c:f>
              <c:numCache>
                <c:formatCode>0.00_);[Red]\(0.00\)</c:formatCode>
                <c:ptCount val="3"/>
                <c:pt idx="0" formatCode="0.000_);[Red]\(0.000\)">
                  <c:v>9.7114000000000006E-2</c:v>
                </c:pt>
                <c:pt idx="1">
                  <c:v>0.59656717963757711</c:v>
                </c:pt>
                <c:pt idx="2">
                  <c:v>0</c:v>
                </c:pt>
              </c:numCache>
            </c:numRef>
          </c:xVal>
          <c:yVal>
            <c:numRef>
              <c:f>PIT!$AJ$568:$AJ$570</c:f>
              <c:numCache>
                <c:formatCode>0.00_);[Red]\(0.00\)</c:formatCode>
                <c:ptCount val="3"/>
                <c:pt idx="0">
                  <c:v>1.7599999999999998</c:v>
                </c:pt>
                <c:pt idx="1">
                  <c:v>2.7210749999999999</c:v>
                </c:pt>
                <c:pt idx="2">
                  <c:v>5.3531218000000003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E4A-4540-9048-8E1393AA4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26976159166435"/>
          <c:y val="0.11119065922137249"/>
          <c:w val="0.67094803596847741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'B-7.4(무보강)'!$AI$359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'B-7.4(무보강)'!$AK$360:$AK$362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'B-7.4(무보강)'!$AJ$360:$AJ$362</c:f>
              <c:numCache>
                <c:formatCode>0.00_);[Red]\(0.00\)</c:formatCode>
                <c:ptCount val="3"/>
                <c:pt idx="0">
                  <c:v>7.4</c:v>
                </c:pt>
                <c:pt idx="1">
                  <c:v>11.575410909090909</c:v>
                </c:pt>
                <c:pt idx="2">
                  <c:v>24.115160000000003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FB7-44E0-9F26-9B17A0AC9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FB7-44E0-9F26-9B17A0AC9D2D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2FB7-44E0-9F26-9B17A0AC9D2D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FB7-44E0-9F26-9B17A0AC9D2D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B7-44E0-9F26-9B17A0AC9D2D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'B-7.4(무보강)'!$AI$489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'B-7.4(무보강)'!$AK$490:$AK$492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'B-7.4(무보강)'!$AJ$490:$AJ$492</c:f>
              <c:numCache>
                <c:formatCode>0.00_);[Red]\(0.00\)</c:formatCode>
                <c:ptCount val="3"/>
                <c:pt idx="0">
                  <c:v>1.1000000000000001</c:v>
                </c:pt>
                <c:pt idx="1">
                  <c:v>5.27541090909091</c:v>
                </c:pt>
                <c:pt idx="2">
                  <c:v>17.815160000000002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F39-4E07-A827-FD6C0E90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39-4E07-A827-FD6C0E908A21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9F39-4E07-A827-FD6C0E908A21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9F39-4E07-A827-FD6C0E908A21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39-4E07-A827-FD6C0E908A21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26976159166435"/>
          <c:y val="0.11119065922137249"/>
          <c:w val="0.67094803596847741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'B-5.1(무보강)'!$AI$359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'B-5.1(무보강)'!$AK$360:$AK$362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'B-5.1(무보강)'!$AJ$360:$AJ$362</c:f>
              <c:numCache>
                <c:formatCode>0.00_);[Red]\(0.00\)</c:formatCode>
                <c:ptCount val="3"/>
                <c:pt idx="0">
                  <c:v>5.0999999999999996</c:v>
                </c:pt>
                <c:pt idx="1">
                  <c:v>9.2754109090909083</c:v>
                </c:pt>
                <c:pt idx="2">
                  <c:v>21.815159999999999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4F3-4497-99F6-3D204F1FE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4F3-4497-99F6-3D204F1FE666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64F3-4497-99F6-3D204F1FE666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64F3-4497-99F6-3D204F1FE666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F3-4497-99F6-3D204F1FE666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'B-5.1(무보강)'!$AI$489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'B-5.1(무보강)'!$AK$490:$AK$492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'B-5.1(무보강)'!$AJ$490:$AJ$492</c:f>
              <c:numCache>
                <c:formatCode>0.00_);[Red]\(0.00\)</c:formatCode>
                <c:ptCount val="3"/>
                <c:pt idx="0">
                  <c:v>5.6</c:v>
                </c:pt>
                <c:pt idx="1">
                  <c:v>9.7754109090909083</c:v>
                </c:pt>
                <c:pt idx="2">
                  <c:v>22.315159999999999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23B-44F6-8D8A-7D32B5E70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23B-44F6-8D8A-7D32B5E700F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A23B-44F6-8D8A-7D32B5E700FB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A23B-44F6-8D8A-7D32B5E700FB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3B-44F6-8D8A-7D32B5E700FB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3.png"/><Relationship Id="rId21" Type="http://schemas.openxmlformats.org/officeDocument/2006/relationships/image" Target="../media/image30.png"/><Relationship Id="rId7" Type="http://schemas.openxmlformats.org/officeDocument/2006/relationships/image" Target="../media/image16.jpe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2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chart" Target="../charts/chart1.xml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chart" Target="../charts/chart2.xml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3.png"/><Relationship Id="rId21" Type="http://schemas.openxmlformats.org/officeDocument/2006/relationships/image" Target="../media/image30.png"/><Relationship Id="rId7" Type="http://schemas.openxmlformats.org/officeDocument/2006/relationships/image" Target="../media/image16.jpe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2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chart" Target="../charts/chart3.xml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chart" Target="../charts/chart4.xml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35.png"/><Relationship Id="rId7" Type="http://schemas.openxmlformats.org/officeDocument/2006/relationships/image" Target="../media/image38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chart" Target="../charts/chart5.xml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39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5.png"/><Relationship Id="rId7" Type="http://schemas.openxmlformats.org/officeDocument/2006/relationships/image" Target="../media/image38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chart" Target="../charts/chart7.xml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39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2.png"/><Relationship Id="rId7" Type="http://schemas.openxmlformats.org/officeDocument/2006/relationships/image" Target="../media/image45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4.png"/><Relationship Id="rId5" Type="http://schemas.openxmlformats.org/officeDocument/2006/relationships/image" Target="../media/image2.png"/><Relationship Id="rId4" Type="http://schemas.openxmlformats.org/officeDocument/2006/relationships/image" Target="../media/image43.png"/><Relationship Id="rId9" Type="http://schemas.openxmlformats.org/officeDocument/2006/relationships/image" Target="../media/image4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240196</xdr:colOff>
      <xdr:row>0</xdr:row>
      <xdr:rowOff>16565</xdr:rowOff>
    </xdr:from>
    <xdr:to>
      <xdr:col>16</xdr:col>
      <xdr:colOff>172959</xdr:colOff>
      <xdr:row>24</xdr:row>
      <xdr:rowOff>165652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53DA47-09B8-49AD-8457-C3437948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2544" y="16565"/>
          <a:ext cx="5432416" cy="7164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714451</xdr:colOff>
      <xdr:row>0</xdr:row>
      <xdr:rowOff>28576</xdr:rowOff>
    </xdr:from>
    <xdr:to>
      <xdr:col>7</xdr:col>
      <xdr:colOff>463568</xdr:colOff>
      <xdr:row>3</xdr:row>
      <xdr:rowOff>200026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FE9C11-29C7-4208-8B10-4DAF114D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101" y="28576"/>
          <a:ext cx="69209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38</xdr:row>
      <xdr:rowOff>163286</xdr:rowOff>
    </xdr:from>
    <xdr:to>
      <xdr:col>5</xdr:col>
      <xdr:colOff>748392</xdr:colOff>
      <xdr:row>43</xdr:row>
      <xdr:rowOff>126477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8DEDD0-70E5-83BB-2C69-6280F3B3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8" y="7674429"/>
          <a:ext cx="3837213" cy="847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133673</xdr:colOff>
      <xdr:row>14</xdr:row>
      <xdr:rowOff>266113</xdr:rowOff>
    </xdr:from>
    <xdr:to>
      <xdr:col>27</xdr:col>
      <xdr:colOff>124439</xdr:colOff>
      <xdr:row>14</xdr:row>
      <xdr:rowOff>1835468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08D1C39-8529-D805-CBD5-93561AEC3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4162"/>
        <a:stretch>
          <a:fillRect/>
        </a:stretch>
      </xdr:blipFill>
      <xdr:spPr>
        <a:xfrm>
          <a:off x="3705548" y="3637963"/>
          <a:ext cx="2848266" cy="1569355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0</xdr:row>
      <xdr:rowOff>28399</xdr:rowOff>
    </xdr:from>
    <xdr:to>
      <xdr:col>25</xdr:col>
      <xdr:colOff>142875</xdr:colOff>
      <xdr:row>1</xdr:row>
      <xdr:rowOff>104775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3F3C5CB1-C028-49D5-9DA7-03103307FBA5}"/>
            </a:ext>
          </a:extLst>
        </xdr:cNvPr>
        <xdr:cNvSpPr>
          <a:spLocks noChangeArrowheads="1"/>
        </xdr:cNvSpPr>
      </xdr:nvSpPr>
      <xdr:spPr bwMode="auto">
        <a:xfrm>
          <a:off x="1085850" y="28399"/>
          <a:ext cx="5010150" cy="45737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지반보강공법 검토서</a:t>
          </a:r>
        </a:p>
      </xdr:txBody>
    </xdr:sp>
    <xdr:clientData/>
  </xdr:twoCellAnchor>
  <xdr:twoCellAnchor editAs="oneCell">
    <xdr:from>
      <xdr:col>27</xdr:col>
      <xdr:colOff>66675</xdr:colOff>
      <xdr:row>0</xdr:row>
      <xdr:rowOff>28575</xdr:rowOff>
    </xdr:from>
    <xdr:to>
      <xdr:col>28</xdr:col>
      <xdr:colOff>209550</xdr:colOff>
      <xdr:row>1</xdr:row>
      <xdr:rowOff>25111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1084E4-F3F0-473C-8E80-D63A239A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28575"/>
          <a:ext cx="381000" cy="377536"/>
        </a:xfrm>
        <a:prstGeom prst="rect">
          <a:avLst/>
        </a:prstGeom>
      </xdr:spPr>
    </xdr:pic>
    <xdr:clientData/>
  </xdr:twoCellAnchor>
  <xdr:twoCellAnchor>
    <xdr:from>
      <xdr:col>16</xdr:col>
      <xdr:colOff>139569</xdr:colOff>
      <xdr:row>14</xdr:row>
      <xdr:rowOff>317440</xdr:rowOff>
    </xdr:from>
    <xdr:to>
      <xdr:col>27</xdr:col>
      <xdr:colOff>3105</xdr:colOff>
      <xdr:row>14</xdr:row>
      <xdr:rowOff>317440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B2871187-1A95-4788-AA3C-E89C4AA04347}"/>
            </a:ext>
          </a:extLst>
        </xdr:cNvPr>
        <xdr:cNvCxnSpPr/>
      </xdr:nvCxnSpPr>
      <xdr:spPr>
        <a:xfrm>
          <a:off x="3949569" y="3689290"/>
          <a:ext cx="24829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74957</xdr:colOff>
      <xdr:row>13</xdr:row>
      <xdr:rowOff>279122</xdr:rowOff>
    </xdr:from>
    <xdr:to>
      <xdr:col>40</xdr:col>
      <xdr:colOff>155926</xdr:colOff>
      <xdr:row>13</xdr:row>
      <xdr:rowOff>279122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5AB606C-06B7-4292-8EE7-42970AEC61C2}"/>
            </a:ext>
          </a:extLst>
        </xdr:cNvPr>
        <xdr:cNvCxnSpPr/>
      </xdr:nvCxnSpPr>
      <xdr:spPr>
        <a:xfrm>
          <a:off x="8514107" y="3346172"/>
          <a:ext cx="957269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190500</xdr:colOff>
      <xdr:row>14</xdr:row>
      <xdr:rowOff>352425</xdr:rowOff>
    </xdr:from>
    <xdr:ext cx="83465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8B710E-3192-D077-DD56-F5ACF7B0C3F4}"/>
            </a:ext>
          </a:extLst>
        </xdr:cNvPr>
        <xdr:cNvSpPr txBox="1"/>
      </xdr:nvSpPr>
      <xdr:spPr>
        <a:xfrm>
          <a:off x="5667375" y="3724275"/>
          <a:ext cx="834652" cy="264560"/>
        </a:xfrm>
        <a:prstGeom prst="rect">
          <a:avLst/>
        </a:prstGeom>
        <a:solidFill>
          <a:schemeClr val="bg1">
            <a:alpha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G.L</a:t>
          </a:r>
          <a:r>
            <a:rPr lang="en-US" altLang="ko-KR" sz="1100" baseline="0">
              <a:solidFill>
                <a:srgbClr val="FF0000"/>
              </a:solidFill>
            </a:rPr>
            <a:t> - 0.16m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</xdr:col>
      <xdr:colOff>158331</xdr:colOff>
      <xdr:row>14</xdr:row>
      <xdr:rowOff>143371</xdr:rowOff>
    </xdr:from>
    <xdr:to>
      <xdr:col>13</xdr:col>
      <xdr:colOff>61430</xdr:colOff>
      <xdr:row>14</xdr:row>
      <xdr:rowOff>1971676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05CF48-0517-7B77-0A6D-AE284FD63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581" y="3515221"/>
          <a:ext cx="2522474" cy="1828305"/>
        </a:xfrm>
        <a:prstGeom prst="rect">
          <a:avLst/>
        </a:prstGeom>
      </xdr:spPr>
    </xdr:pic>
    <xdr:clientData/>
  </xdr:twoCellAnchor>
  <xdr:twoCellAnchor editAs="oneCell">
    <xdr:from>
      <xdr:col>2</xdr:col>
      <xdr:colOff>195228</xdr:colOff>
      <xdr:row>18</xdr:row>
      <xdr:rowOff>213402</xdr:rowOff>
    </xdr:from>
    <xdr:to>
      <xdr:col>13</xdr:col>
      <xdr:colOff>63701</xdr:colOff>
      <xdr:row>18</xdr:row>
      <xdr:rowOff>1883277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A6270EA-C445-3CE9-0BE5-D089887A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478" y="6318927"/>
          <a:ext cx="2487848" cy="1669875"/>
        </a:xfrm>
        <a:prstGeom prst="rect">
          <a:avLst/>
        </a:prstGeom>
      </xdr:spPr>
    </xdr:pic>
    <xdr:clientData/>
  </xdr:twoCellAnchor>
  <xdr:twoCellAnchor editAs="oneCell">
    <xdr:from>
      <xdr:col>17</xdr:col>
      <xdr:colOff>159851</xdr:colOff>
      <xdr:row>18</xdr:row>
      <xdr:rowOff>119376</xdr:rowOff>
    </xdr:from>
    <xdr:to>
      <xdr:col>25</xdr:col>
      <xdr:colOff>108432</xdr:colOff>
      <xdr:row>18</xdr:row>
      <xdr:rowOff>1577319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5D86909-BD9A-3FD6-4798-4CDD9842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7976" y="6224901"/>
          <a:ext cx="1853581" cy="1457943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18</xdr:row>
      <xdr:rowOff>1647825</xdr:rowOff>
    </xdr:from>
    <xdr:ext cx="2703817" cy="23403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6B289C-4D30-7A22-E2DF-94F622B5A493}"/>
            </a:ext>
          </a:extLst>
        </xdr:cNvPr>
        <xdr:cNvSpPr txBox="1"/>
      </xdr:nvSpPr>
      <xdr:spPr>
        <a:xfrm>
          <a:off x="3810000" y="7753350"/>
          <a:ext cx="2703817" cy="23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지상 페블테크 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150kPa , T=500+</a:t>
          </a:r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매트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1</a:t>
          </a:r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겹 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A=175m2</a:t>
          </a:r>
          <a:endParaRPr lang="ko-KR" altLang="en-US" sz="850">
            <a:solidFill>
              <a:srgbClr val="FF0000"/>
            </a:solidFill>
            <a:latin typeface="돋움" panose="020B0600000101010101" pitchFamily="50" charset="-127"/>
            <a:ea typeface="돋움" panose="020B0600000101010101" pitchFamily="50" charset="-127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714451</xdr:colOff>
      <xdr:row>0</xdr:row>
      <xdr:rowOff>28576</xdr:rowOff>
    </xdr:from>
    <xdr:to>
      <xdr:col>7</xdr:col>
      <xdr:colOff>463568</xdr:colOff>
      <xdr:row>3</xdr:row>
      <xdr:rowOff>200026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E9CD811-6BF9-487D-AB6D-1012846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101" y="28576"/>
          <a:ext cx="69209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848591</xdr:colOff>
      <xdr:row>38</xdr:row>
      <xdr:rowOff>121227</xdr:rowOff>
    </xdr:from>
    <xdr:to>
      <xdr:col>6</xdr:col>
      <xdr:colOff>9895</xdr:colOff>
      <xdr:row>43</xdr:row>
      <xdr:rowOff>102972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A9E3B3-52C5-4536-8FBB-586DEEE9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498772"/>
          <a:ext cx="3837213" cy="8476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681777</xdr:colOff>
      <xdr:row>32</xdr:row>
      <xdr:rowOff>119802</xdr:rowOff>
    </xdr:from>
    <xdr:to>
      <xdr:col>7</xdr:col>
      <xdr:colOff>651723</xdr:colOff>
      <xdr:row>34</xdr:row>
      <xdr:rowOff>204048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94CCC7E-AE23-7535-A71A-FA6D9BE8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6677" y="7006377"/>
          <a:ext cx="789096" cy="7890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216098</xdr:rowOff>
    </xdr:from>
    <xdr:to>
      <xdr:col>25</xdr:col>
      <xdr:colOff>114300</xdr:colOff>
      <xdr:row>1</xdr:row>
      <xdr:rowOff>904875</xdr:rowOff>
    </xdr:to>
    <xdr:sp macro="" textlink="">
      <xdr:nvSpPr>
        <xdr:cNvPr id="3" name="Rectangle 49">
          <a:extLst>
            <a:ext uri="{FF2B5EF4-FFF2-40B4-BE49-F238E27FC236}">
              <a16:creationId xmlns:a16="http://schemas.microsoft.com/office/drawing/2014/main" id="{1B1801D0-64B4-4D0C-B530-3D2392224CEC}"/>
            </a:ext>
          </a:extLst>
        </xdr:cNvPr>
        <xdr:cNvSpPr>
          <a:spLocks noChangeArrowheads="1"/>
        </xdr:cNvSpPr>
      </xdr:nvSpPr>
      <xdr:spPr bwMode="auto">
        <a:xfrm>
          <a:off x="1000125" y="597098"/>
          <a:ext cx="5010150" cy="688777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 검토서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7</xdr:col>
      <xdr:colOff>634918</xdr:colOff>
      <xdr:row>28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DF8352-0279-46AE-AB20-1138D3F6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14325"/>
          <a:ext cx="5273593" cy="5600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28399</xdr:rowOff>
    </xdr:from>
    <xdr:to>
      <xdr:col>25</xdr:col>
      <xdr:colOff>142875</xdr:colOff>
      <xdr:row>1</xdr:row>
      <xdr:rowOff>104775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7B19C257-F7F9-45BE-A366-F5E21426E108}"/>
            </a:ext>
          </a:extLst>
        </xdr:cNvPr>
        <xdr:cNvSpPr>
          <a:spLocks noChangeArrowheads="1"/>
        </xdr:cNvSpPr>
      </xdr:nvSpPr>
      <xdr:spPr bwMode="auto">
        <a:xfrm>
          <a:off x="1085850" y="28399"/>
          <a:ext cx="5010150" cy="45737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지반보강공법 계산서</a:t>
          </a:r>
        </a:p>
      </xdr:txBody>
    </xdr:sp>
    <xdr:clientData/>
  </xdr:twoCellAnchor>
  <xdr:twoCellAnchor editAs="oneCell">
    <xdr:from>
      <xdr:col>27</xdr:col>
      <xdr:colOff>66675</xdr:colOff>
      <xdr:row>0</xdr:row>
      <xdr:rowOff>38100</xdr:rowOff>
    </xdr:from>
    <xdr:to>
      <xdr:col>28</xdr:col>
      <xdr:colOff>209550</xdr:colOff>
      <xdr:row>1</xdr:row>
      <xdr:rowOff>34636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0B2A82-FD32-4F21-AB53-DBB3DD37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38100"/>
          <a:ext cx="381000" cy="377536"/>
        </a:xfrm>
        <a:prstGeom prst="rect">
          <a:avLst/>
        </a:prstGeom>
      </xdr:spPr>
    </xdr:pic>
    <xdr:clientData/>
  </xdr:twoCellAnchor>
  <xdr:twoCellAnchor>
    <xdr:from>
      <xdr:col>32</xdr:col>
      <xdr:colOff>114957</xdr:colOff>
      <xdr:row>14</xdr:row>
      <xdr:rowOff>470995</xdr:rowOff>
    </xdr:from>
    <xdr:to>
      <xdr:col>44</xdr:col>
      <xdr:colOff>80443</xdr:colOff>
      <xdr:row>14</xdr:row>
      <xdr:rowOff>476283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640D1CD7-4630-4975-A6DC-C181E8970F3C}"/>
            </a:ext>
          </a:extLst>
        </xdr:cNvPr>
        <xdr:cNvCxnSpPr/>
      </xdr:nvCxnSpPr>
      <xdr:spPr>
        <a:xfrm flipV="1">
          <a:off x="7677807" y="3842845"/>
          <a:ext cx="2594386" cy="5288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108387</xdr:colOff>
      <xdr:row>14</xdr:row>
      <xdr:rowOff>318265</xdr:rowOff>
    </xdr:from>
    <xdr:to>
      <xdr:col>44</xdr:col>
      <xdr:colOff>73873</xdr:colOff>
      <xdr:row>14</xdr:row>
      <xdr:rowOff>323553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8C68759-9D84-4048-A7F2-DB8022CC3965}"/>
            </a:ext>
          </a:extLst>
        </xdr:cNvPr>
        <xdr:cNvCxnSpPr/>
      </xdr:nvCxnSpPr>
      <xdr:spPr>
        <a:xfrm flipV="1">
          <a:off x="7671237" y="3690115"/>
          <a:ext cx="2594386" cy="528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156317</xdr:colOff>
      <xdr:row>14</xdr:row>
      <xdr:rowOff>189417</xdr:rowOff>
    </xdr:from>
    <xdr:to>
      <xdr:col>27</xdr:col>
      <xdr:colOff>147083</xdr:colOff>
      <xdr:row>14</xdr:row>
      <xdr:rowOff>1758772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55F5DA-B001-4F88-921D-4052B0D46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4162"/>
        <a:stretch>
          <a:fillRect/>
        </a:stretch>
      </xdr:blipFill>
      <xdr:spPr>
        <a:xfrm>
          <a:off x="3728192" y="3561267"/>
          <a:ext cx="2848266" cy="156935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14</xdr:row>
      <xdr:rowOff>66675</xdr:rowOff>
    </xdr:from>
    <xdr:to>
      <xdr:col>13</xdr:col>
      <xdr:colOff>84074</xdr:colOff>
      <xdr:row>14</xdr:row>
      <xdr:rowOff>1894980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FB8137-1CFB-4875-97BE-F60E0ADEF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3438525"/>
          <a:ext cx="2522474" cy="18283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9F9D270B-825A-4588-A319-85E96684F1EE}"/>
            </a:ext>
          </a:extLst>
        </xdr:cNvPr>
        <xdr:cNvSpPr>
          <a:spLocks noChangeShapeType="1"/>
        </xdr:cNvSpPr>
      </xdr:nvSpPr>
      <xdr:spPr bwMode="auto">
        <a:xfrm>
          <a:off x="266700" y="38795325"/>
          <a:ext cx="160972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131884</xdr:colOff>
      <xdr:row>453</xdr:row>
      <xdr:rowOff>29308</xdr:rowOff>
    </xdr:from>
    <xdr:to>
      <xdr:col>26</xdr:col>
      <xdr:colOff>131379</xdr:colOff>
      <xdr:row>480</xdr:row>
      <xdr:rowOff>9524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8B874197-03E6-44E1-B95C-14CEEA39F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16" name="Line 12">
          <a:extLst>
            <a:ext uri="{FF2B5EF4-FFF2-40B4-BE49-F238E27FC236}">
              <a16:creationId xmlns:a16="http://schemas.microsoft.com/office/drawing/2014/main" id="{6B218705-F790-4056-8DE5-254541675514}"/>
            </a:ext>
          </a:extLst>
        </xdr:cNvPr>
        <xdr:cNvSpPr>
          <a:spLocks noChangeShapeType="1"/>
        </xdr:cNvSpPr>
      </xdr:nvSpPr>
      <xdr:spPr bwMode="auto">
        <a:xfrm>
          <a:off x="266700" y="38795325"/>
          <a:ext cx="160972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198782</xdr:colOff>
      <xdr:row>423</xdr:row>
      <xdr:rowOff>117231</xdr:rowOff>
    </xdr:from>
    <xdr:to>
      <xdr:col>25</xdr:col>
      <xdr:colOff>186170</xdr:colOff>
      <xdr:row>441</xdr:row>
      <xdr:rowOff>155864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4951B66-B5D4-D7C3-6E31-5B2CCB196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5301" y="86809385"/>
          <a:ext cx="3533619" cy="34676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65688</xdr:colOff>
      <xdr:row>423</xdr:row>
      <xdr:rowOff>124558</xdr:rowOff>
    </xdr:from>
    <xdr:to>
      <xdr:col>12</xdr:col>
      <xdr:colOff>124240</xdr:colOff>
      <xdr:row>441</xdr:row>
      <xdr:rowOff>154061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F190CC9-4E5F-AFD9-BC4E-5EE9B8E8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457" y="86816712"/>
          <a:ext cx="3011302" cy="34585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163424</xdr:colOff>
      <xdr:row>168</xdr:row>
      <xdr:rowOff>64350</xdr:rowOff>
    </xdr:from>
    <xdr:to>
      <xdr:col>15</xdr:col>
      <xdr:colOff>221401</xdr:colOff>
      <xdr:row>176</xdr:row>
      <xdr:rowOff>91928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001B40-EBEE-DBEC-E377-C2F78A81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24" y="36581735"/>
          <a:ext cx="4109765" cy="1566231"/>
        </a:xfrm>
        <a:prstGeom prst="rect">
          <a:avLst/>
        </a:prstGeom>
      </xdr:spPr>
    </xdr:pic>
    <xdr:clientData/>
  </xdr:twoCellAnchor>
  <xdr:twoCellAnchor>
    <xdr:from>
      <xdr:col>17</xdr:col>
      <xdr:colOff>41413</xdr:colOff>
      <xdr:row>522</xdr:row>
      <xdr:rowOff>0</xdr:rowOff>
    </xdr:from>
    <xdr:to>
      <xdr:col>25</xdr:col>
      <xdr:colOff>160268</xdr:colOff>
      <xdr:row>548</xdr:row>
      <xdr:rowOff>137585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5540A06-C89F-4AA9-9AFE-15A21C611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157370</xdr:colOff>
      <xdr:row>557</xdr:row>
      <xdr:rowOff>132522</xdr:rowOff>
    </xdr:from>
    <xdr:to>
      <xdr:col>24</xdr:col>
      <xdr:colOff>133704</xdr:colOff>
      <xdr:row>568</xdr:row>
      <xdr:rowOff>161097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EACC2BD-636C-4192-BA2E-050334DB5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3718" y="91713326"/>
          <a:ext cx="5890116" cy="2124075"/>
        </a:xfrm>
        <a:prstGeom prst="rect">
          <a:avLst/>
        </a:prstGeom>
      </xdr:spPr>
    </xdr:pic>
    <xdr:clientData/>
  </xdr:twoCellAnchor>
  <xdr:twoCellAnchor>
    <xdr:from>
      <xdr:col>10</xdr:col>
      <xdr:colOff>124556</xdr:colOff>
      <xdr:row>177</xdr:row>
      <xdr:rowOff>131884</xdr:rowOff>
    </xdr:from>
    <xdr:to>
      <xdr:col>24</xdr:col>
      <xdr:colOff>210225</xdr:colOff>
      <xdr:row>187</xdr:row>
      <xdr:rowOff>278423</xdr:rowOff>
    </xdr:to>
    <xdr:pic>
      <xdr:nvPicPr>
        <xdr:cNvPr id="14" name="_x79212624" descr="EMB0000037c28fc">
          <a:extLst>
            <a:ext uri="{FF2B5EF4-FFF2-40B4-BE49-F238E27FC236}">
              <a16:creationId xmlns:a16="http://schemas.microsoft.com/office/drawing/2014/main" id="{00420DCA-4DFE-4D26-A1C7-33C462B1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13537" y="38371096"/>
          <a:ext cx="3895669" cy="2014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258305</xdr:colOff>
      <xdr:row>144</xdr:row>
      <xdr:rowOff>35517</xdr:rowOff>
    </xdr:from>
    <xdr:to>
      <xdr:col>3</xdr:col>
      <xdr:colOff>258305</xdr:colOff>
      <xdr:row>145</xdr:row>
      <xdr:rowOff>71034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C3F30A74-8E70-4356-8DC3-491C548055DF}"/>
            </a:ext>
          </a:extLst>
        </xdr:cNvPr>
        <xdr:cNvCxnSpPr/>
      </xdr:nvCxnSpPr>
      <xdr:spPr>
        <a:xfrm>
          <a:off x="753605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258304</xdr:colOff>
      <xdr:row>144</xdr:row>
      <xdr:rowOff>35517</xdr:rowOff>
    </xdr:from>
    <xdr:to>
      <xdr:col>6</xdr:col>
      <xdr:colOff>258304</xdr:colOff>
      <xdr:row>145</xdr:row>
      <xdr:rowOff>71034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D546B92-E0D1-4A2A-9BCF-D31D42233862}"/>
            </a:ext>
          </a:extLst>
        </xdr:cNvPr>
        <xdr:cNvCxnSpPr/>
      </xdr:nvCxnSpPr>
      <xdr:spPr>
        <a:xfrm>
          <a:off x="1439404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1130</xdr:colOff>
      <xdr:row>145</xdr:row>
      <xdr:rowOff>3229</xdr:rowOff>
    </xdr:from>
    <xdr:to>
      <xdr:col>6</xdr:col>
      <xdr:colOff>223229</xdr:colOff>
      <xdr:row>145</xdr:row>
      <xdr:rowOff>3229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F86601FB-836B-4C57-B6AC-9E6B4C8958CE}"/>
            </a:ext>
          </a:extLst>
        </xdr:cNvPr>
        <xdr:cNvCxnSpPr/>
      </xdr:nvCxnSpPr>
      <xdr:spPr>
        <a:xfrm>
          <a:off x="7536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144</xdr:row>
      <xdr:rowOff>35517</xdr:rowOff>
    </xdr:from>
    <xdr:to>
      <xdr:col>12</xdr:col>
      <xdr:colOff>2862</xdr:colOff>
      <xdr:row>145</xdr:row>
      <xdr:rowOff>71034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7973FBD3-EB35-4175-B9E1-C9EB6235766C}"/>
            </a:ext>
          </a:extLst>
        </xdr:cNvPr>
        <xdr:cNvCxnSpPr/>
      </xdr:nvCxnSpPr>
      <xdr:spPr>
        <a:xfrm>
          <a:off x="2584137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2861</xdr:colOff>
      <xdr:row>144</xdr:row>
      <xdr:rowOff>35517</xdr:rowOff>
    </xdr:from>
    <xdr:to>
      <xdr:col>15</xdr:col>
      <xdr:colOff>2861</xdr:colOff>
      <xdr:row>145</xdr:row>
      <xdr:rowOff>71034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EFC993D-1746-44DC-BB4A-6CA90EDECC89}"/>
            </a:ext>
          </a:extLst>
        </xdr:cNvPr>
        <xdr:cNvCxnSpPr/>
      </xdr:nvCxnSpPr>
      <xdr:spPr>
        <a:xfrm>
          <a:off x="3269936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145</xdr:row>
      <xdr:rowOff>3229</xdr:rowOff>
    </xdr:from>
    <xdr:to>
      <xdr:col>14</xdr:col>
      <xdr:colOff>223254</xdr:colOff>
      <xdr:row>145</xdr:row>
      <xdr:rowOff>3229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474A5B1D-C727-4D72-A220-7724CE38DCD7}"/>
            </a:ext>
          </a:extLst>
        </xdr:cNvPr>
        <xdr:cNvCxnSpPr/>
      </xdr:nvCxnSpPr>
      <xdr:spPr>
        <a:xfrm>
          <a:off x="2584137" y="7566079"/>
          <a:ext cx="677592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253976</xdr:colOff>
      <xdr:row>144</xdr:row>
      <xdr:rowOff>35517</xdr:rowOff>
    </xdr:from>
    <xdr:to>
      <xdr:col>19</xdr:col>
      <xdr:colOff>253976</xdr:colOff>
      <xdr:row>145</xdr:row>
      <xdr:rowOff>71034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FDD762B6-CCFF-41FF-9AA6-605308612232}"/>
            </a:ext>
          </a:extLst>
        </xdr:cNvPr>
        <xdr:cNvCxnSpPr/>
      </xdr:nvCxnSpPr>
      <xdr:spPr>
        <a:xfrm>
          <a:off x="4406876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253975</xdr:colOff>
      <xdr:row>144</xdr:row>
      <xdr:rowOff>35517</xdr:rowOff>
    </xdr:from>
    <xdr:to>
      <xdr:col>22</xdr:col>
      <xdr:colOff>253975</xdr:colOff>
      <xdr:row>145</xdr:row>
      <xdr:rowOff>71034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9468A2CE-9413-43A9-992D-E7CEA56956DC}"/>
            </a:ext>
          </a:extLst>
        </xdr:cNvPr>
        <xdr:cNvCxnSpPr/>
      </xdr:nvCxnSpPr>
      <xdr:spPr>
        <a:xfrm>
          <a:off x="5092675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225401</xdr:colOff>
      <xdr:row>145</xdr:row>
      <xdr:rowOff>3229</xdr:rowOff>
    </xdr:from>
    <xdr:to>
      <xdr:col>22</xdr:col>
      <xdr:colOff>218900</xdr:colOff>
      <xdr:row>145</xdr:row>
      <xdr:rowOff>3229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7CE88EEF-A7E3-46D7-8600-805DDE80B1EF}"/>
            </a:ext>
          </a:extLst>
        </xdr:cNvPr>
        <xdr:cNvCxnSpPr/>
      </xdr:nvCxnSpPr>
      <xdr:spPr>
        <a:xfrm>
          <a:off x="4406876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1130</xdr:colOff>
      <xdr:row>145</xdr:row>
      <xdr:rowOff>3229</xdr:rowOff>
    </xdr:from>
    <xdr:to>
      <xdr:col>14</xdr:col>
      <xdr:colOff>223229</xdr:colOff>
      <xdr:row>145</xdr:row>
      <xdr:rowOff>3229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C508EE5E-874B-4E9F-836D-66536D106AC1}"/>
            </a:ext>
          </a:extLst>
        </xdr:cNvPr>
        <xdr:cNvCxnSpPr/>
      </xdr:nvCxnSpPr>
      <xdr:spPr>
        <a:xfrm>
          <a:off x="25824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1130</xdr:colOff>
      <xdr:row>145</xdr:row>
      <xdr:rowOff>3229</xdr:rowOff>
    </xdr:from>
    <xdr:to>
      <xdr:col>22</xdr:col>
      <xdr:colOff>223229</xdr:colOff>
      <xdr:row>145</xdr:row>
      <xdr:rowOff>3229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765FB2E-8718-40DC-BCEE-56BF7BCA99CF}"/>
            </a:ext>
          </a:extLst>
        </xdr:cNvPr>
        <xdr:cNvCxnSpPr/>
      </xdr:nvCxnSpPr>
      <xdr:spPr>
        <a:xfrm>
          <a:off x="44112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258886</xdr:colOff>
      <xdr:row>140</xdr:row>
      <xdr:rowOff>113138</xdr:rowOff>
    </xdr:from>
    <xdr:to>
      <xdr:col>1</xdr:col>
      <xdr:colOff>258886</xdr:colOff>
      <xdr:row>142</xdr:row>
      <xdr:rowOff>100538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499DAAAD-2680-46BD-9260-287488EA1466}"/>
            </a:ext>
          </a:extLst>
        </xdr:cNvPr>
        <xdr:cNvCxnSpPr/>
      </xdr:nvCxnSpPr>
      <xdr:spPr>
        <a:xfrm rot="5400000">
          <a:off x="179461" y="7174388"/>
          <a:ext cx="235050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142</xdr:row>
      <xdr:rowOff>19050</xdr:rowOff>
    </xdr:from>
    <xdr:to>
      <xdr:col>3</xdr:col>
      <xdr:colOff>38100</xdr:colOff>
      <xdr:row>143</xdr:row>
      <xdr:rowOff>66675</xdr:rowOff>
    </xdr:to>
    <xdr:grpSp>
      <xdr:nvGrpSpPr>
        <xdr:cNvPr id="28" name="그룹 20">
          <a:extLst>
            <a:ext uri="{FF2B5EF4-FFF2-40B4-BE49-F238E27FC236}">
              <a16:creationId xmlns:a16="http://schemas.microsoft.com/office/drawing/2014/main" id="{9EF0CA69-3AF1-45D4-9DF0-58F7DC6C5413}"/>
            </a:ext>
          </a:extLst>
        </xdr:cNvPr>
        <xdr:cNvGrpSpPr>
          <a:grpSpLocks/>
        </xdr:cNvGrpSpPr>
      </xdr:nvGrpSpPr>
      <xdr:grpSpPr bwMode="auto">
        <a:xfrm>
          <a:off x="771525" y="31632525"/>
          <a:ext cx="38100" cy="266700"/>
          <a:chOff x="608734" y="6393872"/>
          <a:chExt cx="109732" cy="145517"/>
        </a:xfrm>
      </xdr:grpSpPr>
      <xdr:sp macro="" textlink="">
        <xdr:nvSpPr>
          <xdr:cNvPr id="31" name="이등변 삼각형 30">
            <a:extLst>
              <a:ext uri="{FF2B5EF4-FFF2-40B4-BE49-F238E27FC236}">
                <a16:creationId xmlns:a16="http://schemas.microsoft.com/office/drawing/2014/main" id="{4AF9FE33-408D-44AE-B374-5C33C0BA80AD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AB69C277-6F6F-4270-847E-DCAFB4212192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753B6E02-8DA0-4005-A372-1ADE64BA8BAA}"/>
              </a:ext>
            </a:extLst>
          </xdr:cNvPr>
          <xdr:cNvCxnSpPr/>
        </xdr:nvCxnSpPr>
        <xdr:spPr>
          <a:xfrm>
            <a:off x="633119" y="6513710"/>
            <a:ext cx="6096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4ED02417-6DC6-4BAA-A390-BE799E06DA60}"/>
              </a:ext>
            </a:extLst>
          </xdr:cNvPr>
          <xdr:cNvCxnSpPr/>
        </xdr:nvCxnSpPr>
        <xdr:spPr>
          <a:xfrm>
            <a:off x="645311" y="6539389"/>
            <a:ext cx="36577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1030</xdr:colOff>
      <xdr:row>140</xdr:row>
      <xdr:rowOff>113138</xdr:rowOff>
    </xdr:from>
    <xdr:to>
      <xdr:col>11</xdr:col>
      <xdr:colOff>1030</xdr:colOff>
      <xdr:row>148</xdr:row>
      <xdr:rowOff>3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3F629A3C-686B-4A0A-9112-24CD5737FD03}"/>
            </a:ext>
          </a:extLst>
        </xdr:cNvPr>
        <xdr:cNvCxnSpPr/>
      </xdr:nvCxnSpPr>
      <xdr:spPr>
        <a:xfrm>
          <a:off x="2353705" y="7056863"/>
          <a:ext cx="0" cy="877465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147</xdr:row>
      <xdr:rowOff>28575</xdr:rowOff>
    </xdr:from>
    <xdr:to>
      <xdr:col>13</xdr:col>
      <xdr:colOff>171450</xdr:colOff>
      <xdr:row>148</xdr:row>
      <xdr:rowOff>76200</xdr:rowOff>
    </xdr:to>
    <xdr:grpSp>
      <xdr:nvGrpSpPr>
        <xdr:cNvPr id="37" name="그룹 23">
          <a:extLst>
            <a:ext uri="{FF2B5EF4-FFF2-40B4-BE49-F238E27FC236}">
              <a16:creationId xmlns:a16="http://schemas.microsoft.com/office/drawing/2014/main" id="{886E9D8D-EF8A-40F1-93D0-FBECFF87AAA9}"/>
            </a:ext>
          </a:extLst>
        </xdr:cNvPr>
        <xdr:cNvGrpSpPr>
          <a:grpSpLocks/>
        </xdr:cNvGrpSpPr>
      </xdr:nvGrpSpPr>
      <xdr:grpSpPr bwMode="auto">
        <a:xfrm>
          <a:off x="3619500" y="32737425"/>
          <a:ext cx="95250" cy="266700"/>
          <a:chOff x="608734" y="6393872"/>
          <a:chExt cx="109732" cy="145517"/>
        </a:xfrm>
      </xdr:grpSpPr>
      <xdr:sp macro="" textlink="">
        <xdr:nvSpPr>
          <xdr:cNvPr id="38" name="이등변 삼각형 37">
            <a:extLst>
              <a:ext uri="{FF2B5EF4-FFF2-40B4-BE49-F238E27FC236}">
                <a16:creationId xmlns:a16="http://schemas.microsoft.com/office/drawing/2014/main" id="{B21ECAC4-F1CF-427E-B822-5D040D5E06C7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BC80CCF0-1031-4B29-B6A1-A6C050166389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07394C9B-1ED2-4704-A6F8-BB47C555F8DF}"/>
              </a:ext>
            </a:extLst>
          </xdr:cNvPr>
          <xdr:cNvCxnSpPr/>
        </xdr:nvCxnSpPr>
        <xdr:spPr>
          <a:xfrm>
            <a:off x="630680" y="6513710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1FC585A2-6363-49E2-A34A-40A9D16709D6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76200</xdr:colOff>
      <xdr:row>151</xdr:row>
      <xdr:rowOff>28575</xdr:rowOff>
    </xdr:from>
    <xdr:to>
      <xdr:col>21</xdr:col>
      <xdr:colOff>171450</xdr:colOff>
      <xdr:row>152</xdr:row>
      <xdr:rowOff>66675</xdr:rowOff>
    </xdr:to>
    <xdr:grpSp>
      <xdr:nvGrpSpPr>
        <xdr:cNvPr id="42" name="그룹 28">
          <a:extLst>
            <a:ext uri="{FF2B5EF4-FFF2-40B4-BE49-F238E27FC236}">
              <a16:creationId xmlns:a16="http://schemas.microsoft.com/office/drawing/2014/main" id="{D09F1AAD-CAF1-4420-AABB-30F86184FF31}"/>
            </a:ext>
          </a:extLst>
        </xdr:cNvPr>
        <xdr:cNvGrpSpPr>
          <a:grpSpLocks/>
        </xdr:cNvGrpSpPr>
      </xdr:nvGrpSpPr>
      <xdr:grpSpPr bwMode="auto">
        <a:xfrm>
          <a:off x="5819775" y="33613725"/>
          <a:ext cx="95250" cy="257175"/>
          <a:chOff x="608734" y="6393872"/>
          <a:chExt cx="109732" cy="145517"/>
        </a:xfrm>
      </xdr:grpSpPr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099C2132-09FF-4B59-9DA5-53DC4E38B216}"/>
              </a:ext>
            </a:extLst>
          </xdr:cNvPr>
          <xdr:cNvSpPr/>
        </xdr:nvSpPr>
        <xdr:spPr>
          <a:xfrm flipV="1">
            <a:off x="608734" y="6393872"/>
            <a:ext cx="109732" cy="63664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536DE4F6-C1E3-4A39-A2C6-E4761A2B40A9}"/>
              </a:ext>
            </a:extLst>
          </xdr:cNvPr>
          <xdr:cNvCxnSpPr/>
        </xdr:nvCxnSpPr>
        <xdr:spPr>
          <a:xfrm>
            <a:off x="608734" y="6493915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C1B7E1C6-A85D-4139-AB37-092879335579}"/>
              </a:ext>
            </a:extLst>
          </xdr:cNvPr>
          <xdr:cNvCxnSpPr/>
        </xdr:nvCxnSpPr>
        <xdr:spPr>
          <a:xfrm>
            <a:off x="630680" y="6521199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FAD84271-7221-4BF4-82BE-7E5475C6ED0B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3410</xdr:colOff>
      <xdr:row>140</xdr:row>
      <xdr:rowOff>113139</xdr:rowOff>
    </xdr:from>
    <xdr:to>
      <xdr:col>19</xdr:col>
      <xdr:colOff>3410</xdr:colOff>
      <xdr:row>152</xdr:row>
      <xdr:rowOff>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FF9F5BAC-2796-43D0-9276-8BE5F4D940C3}"/>
            </a:ext>
          </a:extLst>
        </xdr:cNvPr>
        <xdr:cNvCxnSpPr/>
      </xdr:nvCxnSpPr>
      <xdr:spPr>
        <a:xfrm>
          <a:off x="4184885" y="7056864"/>
          <a:ext cx="0" cy="1372761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224866</xdr:colOff>
      <xdr:row>141</xdr:row>
      <xdr:rowOff>30</xdr:rowOff>
    </xdr:from>
    <xdr:to>
      <xdr:col>23</xdr:col>
      <xdr:colOff>224866</xdr:colOff>
      <xdr:row>149</xdr:row>
      <xdr:rowOff>107430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89C85C9-B7B8-44CE-A28D-6DB4A3292038}"/>
            </a:ext>
          </a:extLst>
        </xdr:cNvPr>
        <xdr:cNvCxnSpPr/>
      </xdr:nvCxnSpPr>
      <xdr:spPr>
        <a:xfrm>
          <a:off x="5320741" y="7067580"/>
          <a:ext cx="0" cy="109800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1030</xdr:colOff>
      <xdr:row>141</xdr:row>
      <xdr:rowOff>28</xdr:rowOff>
    </xdr:from>
    <xdr:to>
      <xdr:col>16</xdr:col>
      <xdr:colOff>1030</xdr:colOff>
      <xdr:row>144</xdr:row>
      <xdr:rowOff>0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DC6D4D80-D73D-48BC-84F3-400208F56772}"/>
            </a:ext>
          </a:extLst>
        </xdr:cNvPr>
        <xdr:cNvCxnSpPr/>
      </xdr:nvCxnSpPr>
      <xdr:spPr>
        <a:xfrm>
          <a:off x="3496705" y="7067578"/>
          <a:ext cx="0" cy="371447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168768</xdr:colOff>
      <xdr:row>144</xdr:row>
      <xdr:rowOff>548</xdr:rowOff>
    </xdr:from>
    <xdr:to>
      <xdr:col>16</xdr:col>
      <xdr:colOff>61298</xdr:colOff>
      <xdr:row>144</xdr:row>
      <xdr:rowOff>548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7FFD1DF-CE5D-4295-96EA-3695DCAC0A20}"/>
            </a:ext>
          </a:extLst>
        </xdr:cNvPr>
        <xdr:cNvCxnSpPr/>
      </xdr:nvCxnSpPr>
      <xdr:spPr>
        <a:xfrm rot="5400000">
          <a:off x="3496408" y="7379008"/>
          <a:ext cx="0" cy="12113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59349</xdr:colOff>
      <xdr:row>341</xdr:row>
      <xdr:rowOff>125353</xdr:rowOff>
    </xdr:from>
    <xdr:to>
      <xdr:col>12</xdr:col>
      <xdr:colOff>247651</xdr:colOff>
      <xdr:row>343</xdr:row>
      <xdr:rowOff>139211</xdr:rowOff>
    </xdr:to>
    <xdr:pic>
      <xdr:nvPicPr>
        <xdr:cNvPr id="51" name="Picture 1">
          <a:extLst>
            <a:ext uri="{FF2B5EF4-FFF2-40B4-BE49-F238E27FC236}">
              <a16:creationId xmlns:a16="http://schemas.microsoft.com/office/drawing/2014/main" id="{C2FDAF75-DB02-4AEF-B391-68E708B4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5714" y="61949930"/>
          <a:ext cx="2298456" cy="3508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24849</xdr:colOff>
      <xdr:row>344</xdr:row>
      <xdr:rowOff>3312</xdr:rowOff>
    </xdr:from>
    <xdr:to>
      <xdr:col>19</xdr:col>
      <xdr:colOff>197900</xdr:colOff>
      <xdr:row>345</xdr:row>
      <xdr:rowOff>138083</xdr:rowOff>
    </xdr:to>
    <xdr:pic>
      <xdr:nvPicPr>
        <xdr:cNvPr id="52" name="Picture 3">
          <a:extLst>
            <a:ext uri="{FF2B5EF4-FFF2-40B4-BE49-F238E27FC236}">
              <a16:creationId xmlns:a16="http://schemas.microsoft.com/office/drawing/2014/main" id="{139970E3-5DAD-4850-87EC-BA070F23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4524" y="33283662"/>
          <a:ext cx="3744926" cy="32600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38100</xdr:colOff>
      <xdr:row>346</xdr:row>
      <xdr:rowOff>2932</xdr:rowOff>
    </xdr:from>
    <xdr:to>
      <xdr:col>19</xdr:col>
      <xdr:colOff>262890</xdr:colOff>
      <xdr:row>347</xdr:row>
      <xdr:rowOff>153867</xdr:rowOff>
    </xdr:to>
    <xdr:pic>
      <xdr:nvPicPr>
        <xdr:cNvPr id="53" name="Picture 7">
          <a:extLst>
            <a:ext uri="{FF2B5EF4-FFF2-40B4-BE49-F238E27FC236}">
              <a16:creationId xmlns:a16="http://schemas.microsoft.com/office/drawing/2014/main" id="{FE39360F-2EDD-4B17-9CB1-6B3A38A2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2004" y="62670105"/>
          <a:ext cx="3771021" cy="3341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66675</xdr:colOff>
      <xdr:row>348</xdr:row>
      <xdr:rowOff>29308</xdr:rowOff>
    </xdr:from>
    <xdr:to>
      <xdr:col>13</xdr:col>
      <xdr:colOff>140589</xdr:colOff>
      <xdr:row>350</xdr:row>
      <xdr:rowOff>153866</xdr:rowOff>
    </xdr:to>
    <xdr:pic>
      <xdr:nvPicPr>
        <xdr:cNvPr id="54" name="Picture 9">
          <a:extLst>
            <a:ext uri="{FF2B5EF4-FFF2-40B4-BE49-F238E27FC236}">
              <a16:creationId xmlns:a16="http://schemas.microsoft.com/office/drawing/2014/main" id="{5DC0FD05-30F9-496B-9E20-8B62C5A2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3040" y="63033520"/>
          <a:ext cx="2491799" cy="4909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38100</xdr:colOff>
      <xdr:row>351</xdr:row>
      <xdr:rowOff>0</xdr:rowOff>
    </xdr:from>
    <xdr:to>
      <xdr:col>7</xdr:col>
      <xdr:colOff>115062</xdr:colOff>
      <xdr:row>352</xdr:row>
      <xdr:rowOff>136427</xdr:rowOff>
    </xdr:to>
    <xdr:pic>
      <xdr:nvPicPr>
        <xdr:cNvPr id="55" name="Picture 11">
          <a:extLst>
            <a:ext uri="{FF2B5EF4-FFF2-40B4-BE49-F238E27FC236}">
              <a16:creationId xmlns:a16="http://schemas.microsoft.com/office/drawing/2014/main" id="{1752EB85-68C5-4B31-B933-767607D1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0575" y="34994850"/>
          <a:ext cx="877062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19050</xdr:colOff>
      <xdr:row>352</xdr:row>
      <xdr:rowOff>142875</xdr:rowOff>
    </xdr:from>
    <xdr:to>
      <xdr:col>14</xdr:col>
      <xdr:colOff>31242</xdr:colOff>
      <xdr:row>355</xdr:row>
      <xdr:rowOff>149195</xdr:rowOff>
    </xdr:to>
    <xdr:pic>
      <xdr:nvPicPr>
        <xdr:cNvPr id="56" name="Picture 13">
          <a:extLst>
            <a:ext uri="{FF2B5EF4-FFF2-40B4-BE49-F238E27FC236}">
              <a16:creationId xmlns:a16="http://schemas.microsoft.com/office/drawing/2014/main" id="{9DB3EFA4-CBD1-4738-AADC-890AC30A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8725" y="35423475"/>
          <a:ext cx="2183892" cy="5675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142875</xdr:colOff>
      <xdr:row>345</xdr:row>
      <xdr:rowOff>219075</xdr:rowOff>
    </xdr:from>
    <xdr:to>
      <xdr:col>31</xdr:col>
      <xdr:colOff>238887</xdr:colOff>
      <xdr:row>348</xdr:row>
      <xdr:rowOff>135109</xdr:rowOff>
    </xdr:to>
    <xdr:pic>
      <xdr:nvPicPr>
        <xdr:cNvPr id="57" name="Picture 15">
          <a:extLst>
            <a:ext uri="{FF2B5EF4-FFF2-40B4-BE49-F238E27FC236}">
              <a16:creationId xmlns:a16="http://schemas.microsoft.com/office/drawing/2014/main" id="{2FC4C261-4BEE-4B71-9587-45AC8D2C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19825" y="34261425"/>
          <a:ext cx="981837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190500</xdr:colOff>
      <xdr:row>349</xdr:row>
      <xdr:rowOff>0</xdr:rowOff>
    </xdr:from>
    <xdr:to>
      <xdr:col>31</xdr:col>
      <xdr:colOff>373380</xdr:colOff>
      <xdr:row>350</xdr:row>
      <xdr:rowOff>104345</xdr:rowOff>
    </xdr:to>
    <xdr:pic>
      <xdr:nvPicPr>
        <xdr:cNvPr id="58" name="Picture 17">
          <a:extLst>
            <a:ext uri="{FF2B5EF4-FFF2-40B4-BE49-F238E27FC236}">
              <a16:creationId xmlns:a16="http://schemas.microsoft.com/office/drawing/2014/main" id="{8E7D9C72-A20A-4405-ACC8-3401C2304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67450" y="35032950"/>
          <a:ext cx="1068705" cy="2904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356</xdr:row>
      <xdr:rowOff>76200</xdr:rowOff>
    </xdr:from>
    <xdr:to>
      <xdr:col>9</xdr:col>
      <xdr:colOff>129921</xdr:colOff>
      <xdr:row>357</xdr:row>
      <xdr:rowOff>27257</xdr:rowOff>
    </xdr:to>
    <xdr:pic>
      <xdr:nvPicPr>
        <xdr:cNvPr id="59" name="Picture 21">
          <a:extLst>
            <a:ext uri="{FF2B5EF4-FFF2-40B4-BE49-F238E27FC236}">
              <a16:creationId xmlns:a16="http://schemas.microsoft.com/office/drawing/2014/main" id="{3365D955-8A30-4A88-84CE-3827EE86C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3634740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357</xdr:row>
      <xdr:rowOff>28575</xdr:rowOff>
    </xdr:from>
    <xdr:to>
      <xdr:col>12</xdr:col>
      <xdr:colOff>185039</xdr:colOff>
      <xdr:row>358</xdr:row>
      <xdr:rowOff>167200</xdr:rowOff>
    </xdr:to>
    <xdr:pic>
      <xdr:nvPicPr>
        <xdr:cNvPr id="60" name="Picture 25">
          <a:extLst>
            <a:ext uri="{FF2B5EF4-FFF2-40B4-BE49-F238E27FC236}">
              <a16:creationId xmlns:a16="http://schemas.microsoft.com/office/drawing/2014/main" id="{69C36F13-D0B3-41F1-AB51-675625148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365474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359</xdr:row>
      <xdr:rowOff>19050</xdr:rowOff>
    </xdr:from>
    <xdr:to>
      <xdr:col>10</xdr:col>
      <xdr:colOff>59944</xdr:colOff>
      <xdr:row>361</xdr:row>
      <xdr:rowOff>3078</xdr:rowOff>
    </xdr:to>
    <xdr:pic>
      <xdr:nvPicPr>
        <xdr:cNvPr id="61" name="Picture 27">
          <a:extLst>
            <a:ext uri="{FF2B5EF4-FFF2-40B4-BE49-F238E27FC236}">
              <a16:creationId xmlns:a16="http://schemas.microsoft.com/office/drawing/2014/main" id="{815489D6-C860-4268-8EA6-11772C584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370332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357</xdr:row>
      <xdr:rowOff>19050</xdr:rowOff>
    </xdr:from>
    <xdr:to>
      <xdr:col>23</xdr:col>
      <xdr:colOff>218059</xdr:colOff>
      <xdr:row>358</xdr:row>
      <xdr:rowOff>157675</xdr:rowOff>
    </xdr:to>
    <xdr:pic>
      <xdr:nvPicPr>
        <xdr:cNvPr id="62" name="Picture 29">
          <a:extLst>
            <a:ext uri="{FF2B5EF4-FFF2-40B4-BE49-F238E27FC236}">
              <a16:creationId xmlns:a16="http://schemas.microsoft.com/office/drawing/2014/main" id="{7400D655-C57A-4871-8C8E-660B0C21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365379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359</xdr:row>
      <xdr:rowOff>19050</xdr:rowOff>
    </xdr:from>
    <xdr:to>
      <xdr:col>23</xdr:col>
      <xdr:colOff>237109</xdr:colOff>
      <xdr:row>360</xdr:row>
      <xdr:rowOff>157676</xdr:rowOff>
    </xdr:to>
    <xdr:pic>
      <xdr:nvPicPr>
        <xdr:cNvPr id="63" name="Picture 31">
          <a:extLst>
            <a:ext uri="{FF2B5EF4-FFF2-40B4-BE49-F238E27FC236}">
              <a16:creationId xmlns:a16="http://schemas.microsoft.com/office/drawing/2014/main" id="{0162107E-6A8A-4934-A7E9-1D8EF4F7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370332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360</xdr:row>
      <xdr:rowOff>219075</xdr:rowOff>
    </xdr:from>
    <xdr:to>
      <xdr:col>11</xdr:col>
      <xdr:colOff>253619</xdr:colOff>
      <xdr:row>363</xdr:row>
      <xdr:rowOff>2775</xdr:rowOff>
    </xdr:to>
    <xdr:pic>
      <xdr:nvPicPr>
        <xdr:cNvPr id="64" name="Picture 33">
          <a:extLst>
            <a:ext uri="{FF2B5EF4-FFF2-40B4-BE49-F238E27FC236}">
              <a16:creationId xmlns:a16="http://schemas.microsoft.com/office/drawing/2014/main" id="{7915FC54-4969-4B2F-8182-C9B9D393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374808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0</xdr:colOff>
      <xdr:row>365</xdr:row>
      <xdr:rowOff>76200</xdr:rowOff>
    </xdr:from>
    <xdr:to>
      <xdr:col>9</xdr:col>
      <xdr:colOff>126111</xdr:colOff>
      <xdr:row>366</xdr:row>
      <xdr:rowOff>38100</xdr:rowOff>
    </xdr:to>
    <xdr:pic>
      <xdr:nvPicPr>
        <xdr:cNvPr id="65" name="Picture 21">
          <a:extLst>
            <a:ext uri="{FF2B5EF4-FFF2-40B4-BE49-F238E27FC236}">
              <a16:creationId xmlns:a16="http://schemas.microsoft.com/office/drawing/2014/main" id="{485E3FB5-01AE-4898-95AC-BD96E8425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3857625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366</xdr:row>
      <xdr:rowOff>28575</xdr:rowOff>
    </xdr:from>
    <xdr:to>
      <xdr:col>12</xdr:col>
      <xdr:colOff>185039</xdr:colOff>
      <xdr:row>367</xdr:row>
      <xdr:rowOff>175260</xdr:rowOff>
    </xdr:to>
    <xdr:pic>
      <xdr:nvPicPr>
        <xdr:cNvPr id="66" name="Picture 25">
          <a:extLst>
            <a:ext uri="{FF2B5EF4-FFF2-40B4-BE49-F238E27FC236}">
              <a16:creationId xmlns:a16="http://schemas.microsoft.com/office/drawing/2014/main" id="{2894FEEF-6E44-4ED2-B788-AD39471F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387762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368</xdr:row>
      <xdr:rowOff>19050</xdr:rowOff>
    </xdr:from>
    <xdr:to>
      <xdr:col>10</xdr:col>
      <xdr:colOff>59944</xdr:colOff>
      <xdr:row>370</xdr:row>
      <xdr:rowOff>13335</xdr:rowOff>
    </xdr:to>
    <xdr:pic>
      <xdr:nvPicPr>
        <xdr:cNvPr id="67" name="Picture 27">
          <a:extLst>
            <a:ext uri="{FF2B5EF4-FFF2-40B4-BE49-F238E27FC236}">
              <a16:creationId xmlns:a16="http://schemas.microsoft.com/office/drawing/2014/main" id="{64D2B015-61FD-4615-87B0-E5ECB7B3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3926205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366</xdr:row>
      <xdr:rowOff>19050</xdr:rowOff>
    </xdr:from>
    <xdr:to>
      <xdr:col>23</xdr:col>
      <xdr:colOff>218059</xdr:colOff>
      <xdr:row>367</xdr:row>
      <xdr:rowOff>165735</xdr:rowOff>
    </xdr:to>
    <xdr:pic>
      <xdr:nvPicPr>
        <xdr:cNvPr id="68" name="Picture 29">
          <a:extLst>
            <a:ext uri="{FF2B5EF4-FFF2-40B4-BE49-F238E27FC236}">
              <a16:creationId xmlns:a16="http://schemas.microsoft.com/office/drawing/2014/main" id="{7CA04437-D5A3-4DB1-BBA8-AC5D4502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387667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368</xdr:row>
      <xdr:rowOff>19050</xdr:rowOff>
    </xdr:from>
    <xdr:to>
      <xdr:col>23</xdr:col>
      <xdr:colOff>237109</xdr:colOff>
      <xdr:row>369</xdr:row>
      <xdr:rowOff>165735</xdr:rowOff>
    </xdr:to>
    <xdr:pic>
      <xdr:nvPicPr>
        <xdr:cNvPr id="69" name="Picture 31">
          <a:extLst>
            <a:ext uri="{FF2B5EF4-FFF2-40B4-BE49-F238E27FC236}">
              <a16:creationId xmlns:a16="http://schemas.microsoft.com/office/drawing/2014/main" id="{25BF1651-E4E3-4F55-A334-34010CF09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3926205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369</xdr:row>
      <xdr:rowOff>219075</xdr:rowOff>
    </xdr:from>
    <xdr:to>
      <xdr:col>11</xdr:col>
      <xdr:colOff>253619</xdr:colOff>
      <xdr:row>372</xdr:row>
      <xdr:rowOff>18161</xdr:rowOff>
    </xdr:to>
    <xdr:pic>
      <xdr:nvPicPr>
        <xdr:cNvPr id="70" name="Picture 33">
          <a:extLst>
            <a:ext uri="{FF2B5EF4-FFF2-40B4-BE49-F238E27FC236}">
              <a16:creationId xmlns:a16="http://schemas.microsoft.com/office/drawing/2014/main" id="{40A3336E-9A71-42E8-A28A-A37AF5AE9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3970972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0</xdr:colOff>
      <xdr:row>374</xdr:row>
      <xdr:rowOff>76200</xdr:rowOff>
    </xdr:from>
    <xdr:ext cx="659511" cy="142875"/>
    <xdr:pic>
      <xdr:nvPicPr>
        <xdr:cNvPr id="71" name="Picture 21">
          <a:extLst>
            <a:ext uri="{FF2B5EF4-FFF2-40B4-BE49-F238E27FC236}">
              <a16:creationId xmlns:a16="http://schemas.microsoft.com/office/drawing/2014/main" id="{6003AB71-B218-4C89-9618-86B5B62F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40805100"/>
          <a:ext cx="659511" cy="142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200025</xdr:colOff>
      <xdr:row>375</xdr:row>
      <xdr:rowOff>28575</xdr:rowOff>
    </xdr:from>
    <xdr:ext cx="1851914" cy="327660"/>
    <xdr:pic>
      <xdr:nvPicPr>
        <xdr:cNvPr id="72" name="Picture 25">
          <a:extLst>
            <a:ext uri="{FF2B5EF4-FFF2-40B4-BE49-F238E27FC236}">
              <a16:creationId xmlns:a16="http://schemas.microsoft.com/office/drawing/2014/main" id="{F31E65F8-979E-4247-B733-738ADF11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410051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133350</xdr:colOff>
      <xdr:row>377</xdr:row>
      <xdr:rowOff>19050</xdr:rowOff>
    </xdr:from>
    <xdr:ext cx="993394" cy="356235"/>
    <xdr:pic>
      <xdr:nvPicPr>
        <xdr:cNvPr id="73" name="Picture 27">
          <a:extLst>
            <a:ext uri="{FF2B5EF4-FFF2-40B4-BE49-F238E27FC236}">
              <a16:creationId xmlns:a16="http://schemas.microsoft.com/office/drawing/2014/main" id="{2B943DCE-7B5E-4D04-99C3-E4AAEEEB4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41490900"/>
          <a:ext cx="993394" cy="3562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375</xdr:row>
      <xdr:rowOff>19050</xdr:rowOff>
    </xdr:from>
    <xdr:ext cx="1846834" cy="327660"/>
    <xdr:pic>
      <xdr:nvPicPr>
        <xdr:cNvPr id="74" name="Picture 29">
          <a:extLst>
            <a:ext uri="{FF2B5EF4-FFF2-40B4-BE49-F238E27FC236}">
              <a16:creationId xmlns:a16="http://schemas.microsoft.com/office/drawing/2014/main" id="{71401266-8CB6-4AA0-88E5-F69972D9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409956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377</xdr:row>
      <xdr:rowOff>19050</xdr:rowOff>
    </xdr:from>
    <xdr:ext cx="1865884" cy="327660"/>
    <xdr:pic>
      <xdr:nvPicPr>
        <xdr:cNvPr id="75" name="Picture 31">
          <a:extLst>
            <a:ext uri="{FF2B5EF4-FFF2-40B4-BE49-F238E27FC236}">
              <a16:creationId xmlns:a16="http://schemas.microsoft.com/office/drawing/2014/main" id="{42235A78-16BD-4E2F-B793-4C214F52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414909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57150</xdr:colOff>
      <xdr:row>378</xdr:row>
      <xdr:rowOff>219075</xdr:rowOff>
    </xdr:from>
    <xdr:ext cx="1529969" cy="380111"/>
    <xdr:pic>
      <xdr:nvPicPr>
        <xdr:cNvPr id="76" name="Picture 33">
          <a:extLst>
            <a:ext uri="{FF2B5EF4-FFF2-40B4-BE49-F238E27FC236}">
              <a16:creationId xmlns:a16="http://schemas.microsoft.com/office/drawing/2014/main" id="{D581FE09-B14A-4173-9EC8-26A1A921F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419385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0</xdr:colOff>
      <xdr:row>374</xdr:row>
      <xdr:rowOff>76200</xdr:rowOff>
    </xdr:from>
    <xdr:to>
      <xdr:col>9</xdr:col>
      <xdr:colOff>126111</xdr:colOff>
      <xdr:row>375</xdr:row>
      <xdr:rowOff>38100</xdr:rowOff>
    </xdr:to>
    <xdr:pic>
      <xdr:nvPicPr>
        <xdr:cNvPr id="77" name="Picture 21">
          <a:extLst>
            <a:ext uri="{FF2B5EF4-FFF2-40B4-BE49-F238E27FC236}">
              <a16:creationId xmlns:a16="http://schemas.microsoft.com/office/drawing/2014/main" id="{75989D42-688A-4AA9-ADD2-1E4338DF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4080510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375</xdr:row>
      <xdr:rowOff>28575</xdr:rowOff>
    </xdr:from>
    <xdr:to>
      <xdr:col>12</xdr:col>
      <xdr:colOff>185039</xdr:colOff>
      <xdr:row>376</xdr:row>
      <xdr:rowOff>175260</xdr:rowOff>
    </xdr:to>
    <xdr:pic>
      <xdr:nvPicPr>
        <xdr:cNvPr id="78" name="Picture 25">
          <a:extLst>
            <a:ext uri="{FF2B5EF4-FFF2-40B4-BE49-F238E27FC236}">
              <a16:creationId xmlns:a16="http://schemas.microsoft.com/office/drawing/2014/main" id="{96B865D1-85CC-4A5F-ADAF-A8E0A7B57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410051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377</xdr:row>
      <xdr:rowOff>19050</xdr:rowOff>
    </xdr:from>
    <xdr:to>
      <xdr:col>10</xdr:col>
      <xdr:colOff>59944</xdr:colOff>
      <xdr:row>379</xdr:row>
      <xdr:rowOff>32385</xdr:rowOff>
    </xdr:to>
    <xdr:pic>
      <xdr:nvPicPr>
        <xdr:cNvPr id="79" name="Picture 27">
          <a:extLst>
            <a:ext uri="{FF2B5EF4-FFF2-40B4-BE49-F238E27FC236}">
              <a16:creationId xmlns:a16="http://schemas.microsoft.com/office/drawing/2014/main" id="{E5A5104C-A66B-4715-ABB7-C3A312F4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414909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375</xdr:row>
      <xdr:rowOff>19050</xdr:rowOff>
    </xdr:from>
    <xdr:to>
      <xdr:col>23</xdr:col>
      <xdr:colOff>218059</xdr:colOff>
      <xdr:row>376</xdr:row>
      <xdr:rowOff>165735</xdr:rowOff>
    </xdr:to>
    <xdr:pic>
      <xdr:nvPicPr>
        <xdr:cNvPr id="80" name="Picture 29">
          <a:extLst>
            <a:ext uri="{FF2B5EF4-FFF2-40B4-BE49-F238E27FC236}">
              <a16:creationId xmlns:a16="http://schemas.microsoft.com/office/drawing/2014/main" id="{68AAD2E3-B70B-40F0-98BC-49EE08CBC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409956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377</xdr:row>
      <xdr:rowOff>19050</xdr:rowOff>
    </xdr:from>
    <xdr:to>
      <xdr:col>23</xdr:col>
      <xdr:colOff>237109</xdr:colOff>
      <xdr:row>379</xdr:row>
      <xdr:rowOff>3810</xdr:rowOff>
    </xdr:to>
    <xdr:pic>
      <xdr:nvPicPr>
        <xdr:cNvPr id="81" name="Picture 31">
          <a:extLst>
            <a:ext uri="{FF2B5EF4-FFF2-40B4-BE49-F238E27FC236}">
              <a16:creationId xmlns:a16="http://schemas.microsoft.com/office/drawing/2014/main" id="{B139ACDD-DA62-43BE-83E7-C5DFAC72B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414909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378</xdr:row>
      <xdr:rowOff>219075</xdr:rowOff>
    </xdr:from>
    <xdr:to>
      <xdr:col>11</xdr:col>
      <xdr:colOff>253619</xdr:colOff>
      <xdr:row>381</xdr:row>
      <xdr:rowOff>37211</xdr:rowOff>
    </xdr:to>
    <xdr:pic>
      <xdr:nvPicPr>
        <xdr:cNvPr id="82" name="Picture 33">
          <a:extLst>
            <a:ext uri="{FF2B5EF4-FFF2-40B4-BE49-F238E27FC236}">
              <a16:creationId xmlns:a16="http://schemas.microsoft.com/office/drawing/2014/main" id="{7B653F2A-A7D6-422B-9E54-35A207E0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419385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38100</xdr:colOff>
      <xdr:row>603</xdr:row>
      <xdr:rowOff>9525</xdr:rowOff>
    </xdr:from>
    <xdr:to>
      <xdr:col>26</xdr:col>
      <xdr:colOff>38100</xdr:colOff>
      <xdr:row>610</xdr:row>
      <xdr:rowOff>14654</xdr:rowOff>
    </xdr:to>
    <xdr:pic>
      <xdr:nvPicPr>
        <xdr:cNvPr id="83" name="_x112452064" descr="EMB000009b04720">
          <a:extLst>
            <a:ext uri="{FF2B5EF4-FFF2-40B4-BE49-F238E27FC236}">
              <a16:creationId xmlns:a16="http://schemas.microsoft.com/office/drawing/2014/main" id="{5A2FF2BD-12D0-4D61-A021-0E3517DF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-1012" t="-5659" r="-1112" b="-4906"/>
        <a:stretch>
          <a:fillRect/>
        </a:stretch>
      </xdr:blipFill>
      <xdr:spPr bwMode="auto">
        <a:xfrm>
          <a:off x="4353658" y="123988390"/>
          <a:ext cx="2710961" cy="2261822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35</xdr:col>
      <xdr:colOff>417634</xdr:colOff>
      <xdr:row>45</xdr:row>
      <xdr:rowOff>73270</xdr:rowOff>
    </xdr:from>
    <xdr:to>
      <xdr:col>49</xdr:col>
      <xdr:colOff>402981</xdr:colOff>
      <xdr:row>62</xdr:row>
      <xdr:rowOff>112576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5D0A4C-E942-4DD8-8386-7CE9F353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02057" y="11210193"/>
          <a:ext cx="5209443" cy="36514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3083A20C-1D2B-4F92-B621-EEC50B7FF038}"/>
            </a:ext>
          </a:extLst>
        </xdr:cNvPr>
        <xdr:cNvSpPr>
          <a:spLocks noChangeShapeType="1"/>
        </xdr:cNvSpPr>
      </xdr:nvSpPr>
      <xdr:spPr bwMode="auto">
        <a:xfrm>
          <a:off x="266700" y="43414950"/>
          <a:ext cx="164782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131884</xdr:colOff>
      <xdr:row>453</xdr:row>
      <xdr:rowOff>29308</xdr:rowOff>
    </xdr:from>
    <xdr:to>
      <xdr:col>26</xdr:col>
      <xdr:colOff>131379</xdr:colOff>
      <xdr:row>480</xdr:row>
      <xdr:rowOff>9524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06B87B6-4F95-4B12-8F2A-CE2F9EDE6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D14CADA4-ED86-4C1C-9540-CF47C0D1B50B}"/>
            </a:ext>
          </a:extLst>
        </xdr:cNvPr>
        <xdr:cNvSpPr>
          <a:spLocks noChangeShapeType="1"/>
        </xdr:cNvSpPr>
      </xdr:nvSpPr>
      <xdr:spPr bwMode="auto">
        <a:xfrm>
          <a:off x="266700" y="43414950"/>
          <a:ext cx="164782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198782</xdr:colOff>
      <xdr:row>423</xdr:row>
      <xdr:rowOff>117231</xdr:rowOff>
    </xdr:from>
    <xdr:to>
      <xdr:col>25</xdr:col>
      <xdr:colOff>186170</xdr:colOff>
      <xdr:row>441</xdr:row>
      <xdr:rowOff>155864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8C6433-71D3-48AF-BA37-AF9C8990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7282" y="89175981"/>
          <a:ext cx="3559263" cy="34676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65688</xdr:colOff>
      <xdr:row>423</xdr:row>
      <xdr:rowOff>124558</xdr:rowOff>
    </xdr:from>
    <xdr:to>
      <xdr:col>12</xdr:col>
      <xdr:colOff>124240</xdr:colOff>
      <xdr:row>441</xdr:row>
      <xdr:rowOff>154061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75473D7-383F-42C4-8A94-62CF5595C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388" y="89183308"/>
          <a:ext cx="3030352" cy="34585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163424</xdr:colOff>
      <xdr:row>168</xdr:row>
      <xdr:rowOff>64350</xdr:rowOff>
    </xdr:from>
    <xdr:to>
      <xdr:col>15</xdr:col>
      <xdr:colOff>221401</xdr:colOff>
      <xdr:row>176</xdr:row>
      <xdr:rowOff>91928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A602988-5658-4169-A452-B61C9690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24" y="36516525"/>
          <a:ext cx="4134677" cy="1561103"/>
        </a:xfrm>
        <a:prstGeom prst="rect">
          <a:avLst/>
        </a:prstGeom>
      </xdr:spPr>
    </xdr:pic>
    <xdr:clientData/>
  </xdr:twoCellAnchor>
  <xdr:twoCellAnchor>
    <xdr:from>
      <xdr:col>17</xdr:col>
      <xdr:colOff>41413</xdr:colOff>
      <xdr:row>522</xdr:row>
      <xdr:rowOff>0</xdr:rowOff>
    </xdr:from>
    <xdr:to>
      <xdr:col>25</xdr:col>
      <xdr:colOff>160268</xdr:colOff>
      <xdr:row>548</xdr:row>
      <xdr:rowOff>137585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3DCBE0CD-4FFF-41C2-9167-4D8C30D41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157370</xdr:colOff>
      <xdr:row>557</xdr:row>
      <xdr:rowOff>132522</xdr:rowOff>
    </xdr:from>
    <xdr:to>
      <xdr:col>24</xdr:col>
      <xdr:colOff>133704</xdr:colOff>
      <xdr:row>568</xdr:row>
      <xdr:rowOff>161097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F04C81F-AB2D-409F-97B9-3FCE9DE1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45" y="114327747"/>
          <a:ext cx="5919934" cy="2124075"/>
        </a:xfrm>
        <a:prstGeom prst="rect">
          <a:avLst/>
        </a:prstGeom>
      </xdr:spPr>
    </xdr:pic>
    <xdr:clientData/>
  </xdr:twoCellAnchor>
  <xdr:twoCellAnchor>
    <xdr:from>
      <xdr:col>4</xdr:col>
      <xdr:colOff>201755</xdr:colOff>
      <xdr:row>24</xdr:row>
      <xdr:rowOff>144893</xdr:rowOff>
    </xdr:from>
    <xdr:to>
      <xdr:col>15</xdr:col>
      <xdr:colOff>247203</xdr:colOff>
      <xdr:row>24</xdr:row>
      <xdr:rowOff>153174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F1BD9DF3-1520-47F1-BA81-BF0FD9EE6313}"/>
            </a:ext>
          </a:extLst>
        </xdr:cNvPr>
        <xdr:cNvCxnSpPr/>
      </xdr:nvCxnSpPr>
      <xdr:spPr>
        <a:xfrm>
          <a:off x="1306655" y="6440918"/>
          <a:ext cx="3017248" cy="828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124556</xdr:colOff>
      <xdr:row>177</xdr:row>
      <xdr:rowOff>131884</xdr:rowOff>
    </xdr:from>
    <xdr:to>
      <xdr:col>24</xdr:col>
      <xdr:colOff>210225</xdr:colOff>
      <xdr:row>187</xdr:row>
      <xdr:rowOff>278423</xdr:rowOff>
    </xdr:to>
    <xdr:pic>
      <xdr:nvPicPr>
        <xdr:cNvPr id="11" name="_x79212624" descr="EMB0000037c28fc">
          <a:extLst>
            <a:ext uri="{FF2B5EF4-FFF2-40B4-BE49-F238E27FC236}">
              <a16:creationId xmlns:a16="http://schemas.microsoft.com/office/drawing/2014/main" id="{46ABABDA-CFEF-4843-BA14-3102708D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29656" y="38298559"/>
          <a:ext cx="3924244" cy="2003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258305</xdr:colOff>
      <xdr:row>144</xdr:row>
      <xdr:rowOff>35517</xdr:rowOff>
    </xdr:from>
    <xdr:to>
      <xdr:col>3</xdr:col>
      <xdr:colOff>258305</xdr:colOff>
      <xdr:row>145</xdr:row>
      <xdr:rowOff>71034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C4F49AEE-92FD-45DD-9D5A-81B2A036B2D7}"/>
            </a:ext>
          </a:extLst>
        </xdr:cNvPr>
        <xdr:cNvCxnSpPr/>
      </xdr:nvCxnSpPr>
      <xdr:spPr>
        <a:xfrm>
          <a:off x="1029830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258304</xdr:colOff>
      <xdr:row>144</xdr:row>
      <xdr:rowOff>35517</xdr:rowOff>
    </xdr:from>
    <xdr:to>
      <xdr:col>6</xdr:col>
      <xdr:colOff>258304</xdr:colOff>
      <xdr:row>145</xdr:row>
      <xdr:rowOff>71034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A4B3D1E-F4E7-44BD-A708-49F6537B20A1}"/>
            </a:ext>
          </a:extLst>
        </xdr:cNvPr>
        <xdr:cNvCxnSpPr/>
      </xdr:nvCxnSpPr>
      <xdr:spPr>
        <a:xfrm>
          <a:off x="1896604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1130</xdr:colOff>
      <xdr:row>145</xdr:row>
      <xdr:rowOff>3229</xdr:rowOff>
    </xdr:from>
    <xdr:to>
      <xdr:col>6</xdr:col>
      <xdr:colOff>223229</xdr:colOff>
      <xdr:row>145</xdr:row>
      <xdr:rowOff>3229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B6E29D09-41BD-4E5B-98F6-B1F10E6D2D5E}"/>
            </a:ext>
          </a:extLst>
        </xdr:cNvPr>
        <xdr:cNvCxnSpPr/>
      </xdr:nvCxnSpPr>
      <xdr:spPr>
        <a:xfrm>
          <a:off x="1106030" y="32273929"/>
          <a:ext cx="7554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144</xdr:row>
      <xdr:rowOff>35517</xdr:rowOff>
    </xdr:from>
    <xdr:to>
      <xdr:col>12</xdr:col>
      <xdr:colOff>2862</xdr:colOff>
      <xdr:row>145</xdr:row>
      <xdr:rowOff>71034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936306A-0A78-47DB-8C89-468FF275FEB4}"/>
            </a:ext>
          </a:extLst>
        </xdr:cNvPr>
        <xdr:cNvCxnSpPr/>
      </xdr:nvCxnSpPr>
      <xdr:spPr>
        <a:xfrm>
          <a:off x="3241362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2861</xdr:colOff>
      <xdr:row>144</xdr:row>
      <xdr:rowOff>35517</xdr:rowOff>
    </xdr:from>
    <xdr:to>
      <xdr:col>15</xdr:col>
      <xdr:colOff>2861</xdr:colOff>
      <xdr:row>145</xdr:row>
      <xdr:rowOff>71034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58C2359-BE31-49AF-9039-83C823E5EA20}"/>
            </a:ext>
          </a:extLst>
        </xdr:cNvPr>
        <xdr:cNvCxnSpPr/>
      </xdr:nvCxnSpPr>
      <xdr:spPr>
        <a:xfrm>
          <a:off x="4079561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145</xdr:row>
      <xdr:rowOff>3229</xdr:rowOff>
    </xdr:from>
    <xdr:to>
      <xdr:col>14</xdr:col>
      <xdr:colOff>223254</xdr:colOff>
      <xdr:row>145</xdr:row>
      <xdr:rowOff>3229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9A274FB-9348-449E-8752-FF852568E3FA}"/>
            </a:ext>
          </a:extLst>
        </xdr:cNvPr>
        <xdr:cNvCxnSpPr/>
      </xdr:nvCxnSpPr>
      <xdr:spPr>
        <a:xfrm>
          <a:off x="3241362" y="32273929"/>
          <a:ext cx="791892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253976</xdr:colOff>
      <xdr:row>144</xdr:row>
      <xdr:rowOff>35517</xdr:rowOff>
    </xdr:from>
    <xdr:to>
      <xdr:col>19</xdr:col>
      <xdr:colOff>253976</xdr:colOff>
      <xdr:row>145</xdr:row>
      <xdr:rowOff>71034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441C4B4-8BA6-4B46-A3F4-FDB694B2729F}"/>
            </a:ext>
          </a:extLst>
        </xdr:cNvPr>
        <xdr:cNvCxnSpPr/>
      </xdr:nvCxnSpPr>
      <xdr:spPr>
        <a:xfrm>
          <a:off x="5464151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253975</xdr:colOff>
      <xdr:row>144</xdr:row>
      <xdr:rowOff>35517</xdr:rowOff>
    </xdr:from>
    <xdr:to>
      <xdr:col>22</xdr:col>
      <xdr:colOff>253975</xdr:colOff>
      <xdr:row>145</xdr:row>
      <xdr:rowOff>71034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CCC13233-EABC-4049-B39F-DC2EB30436CC}"/>
            </a:ext>
          </a:extLst>
        </xdr:cNvPr>
        <xdr:cNvCxnSpPr/>
      </xdr:nvCxnSpPr>
      <xdr:spPr>
        <a:xfrm>
          <a:off x="6264250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225401</xdr:colOff>
      <xdr:row>145</xdr:row>
      <xdr:rowOff>3229</xdr:rowOff>
    </xdr:from>
    <xdr:to>
      <xdr:col>22</xdr:col>
      <xdr:colOff>218900</xdr:colOff>
      <xdr:row>145</xdr:row>
      <xdr:rowOff>3229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FA9CC939-2B76-4CFC-BD4A-BBF7E19086C7}"/>
            </a:ext>
          </a:extLst>
        </xdr:cNvPr>
        <xdr:cNvCxnSpPr/>
      </xdr:nvCxnSpPr>
      <xdr:spPr>
        <a:xfrm>
          <a:off x="5435576" y="32273929"/>
          <a:ext cx="7935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1130</xdr:colOff>
      <xdr:row>145</xdr:row>
      <xdr:rowOff>3229</xdr:rowOff>
    </xdr:from>
    <xdr:to>
      <xdr:col>14</xdr:col>
      <xdr:colOff>223229</xdr:colOff>
      <xdr:row>145</xdr:row>
      <xdr:rowOff>3229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E082A261-ED98-46A9-B5DB-E5DA0DEFDE94}"/>
            </a:ext>
          </a:extLst>
        </xdr:cNvPr>
        <xdr:cNvCxnSpPr/>
      </xdr:nvCxnSpPr>
      <xdr:spPr>
        <a:xfrm>
          <a:off x="3239630" y="32273929"/>
          <a:ext cx="7935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1130</xdr:colOff>
      <xdr:row>145</xdr:row>
      <xdr:rowOff>3229</xdr:rowOff>
    </xdr:from>
    <xdr:to>
      <xdr:col>22</xdr:col>
      <xdr:colOff>223229</xdr:colOff>
      <xdr:row>145</xdr:row>
      <xdr:rowOff>3229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D2D9AD48-C762-4BCB-9B69-E76E45F0E0D3}"/>
            </a:ext>
          </a:extLst>
        </xdr:cNvPr>
        <xdr:cNvCxnSpPr/>
      </xdr:nvCxnSpPr>
      <xdr:spPr>
        <a:xfrm>
          <a:off x="5478005" y="32273929"/>
          <a:ext cx="7554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258886</xdr:colOff>
      <xdr:row>140</xdr:row>
      <xdr:rowOff>113138</xdr:rowOff>
    </xdr:from>
    <xdr:to>
      <xdr:col>1</xdr:col>
      <xdr:colOff>258886</xdr:colOff>
      <xdr:row>142</xdr:row>
      <xdr:rowOff>100538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1967C999-B23F-4777-8744-1E22B4546D53}"/>
            </a:ext>
          </a:extLst>
        </xdr:cNvPr>
        <xdr:cNvCxnSpPr/>
      </xdr:nvCxnSpPr>
      <xdr:spPr>
        <a:xfrm rot="5400000">
          <a:off x="308048" y="31496476"/>
          <a:ext cx="435075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142</xdr:row>
      <xdr:rowOff>19050</xdr:rowOff>
    </xdr:from>
    <xdr:to>
      <xdr:col>3</xdr:col>
      <xdr:colOff>38100</xdr:colOff>
      <xdr:row>143</xdr:row>
      <xdr:rowOff>66675</xdr:rowOff>
    </xdr:to>
    <xdr:grpSp>
      <xdr:nvGrpSpPr>
        <xdr:cNvPr id="24" name="그룹 20">
          <a:extLst>
            <a:ext uri="{FF2B5EF4-FFF2-40B4-BE49-F238E27FC236}">
              <a16:creationId xmlns:a16="http://schemas.microsoft.com/office/drawing/2014/main" id="{19F9C047-BE78-4EC5-900D-1E467EDB144E}"/>
            </a:ext>
          </a:extLst>
        </xdr:cNvPr>
        <xdr:cNvGrpSpPr>
          <a:grpSpLocks/>
        </xdr:cNvGrpSpPr>
      </xdr:nvGrpSpPr>
      <xdr:grpSpPr bwMode="auto">
        <a:xfrm>
          <a:off x="771525" y="31632525"/>
          <a:ext cx="38100" cy="266700"/>
          <a:chOff x="608734" y="6393872"/>
          <a:chExt cx="109732" cy="145517"/>
        </a:xfrm>
      </xdr:grpSpPr>
      <xdr:sp macro="" textlink="">
        <xdr:nvSpPr>
          <xdr:cNvPr id="25" name="이등변 삼각형 24">
            <a:extLst>
              <a:ext uri="{FF2B5EF4-FFF2-40B4-BE49-F238E27FC236}">
                <a16:creationId xmlns:a16="http://schemas.microsoft.com/office/drawing/2014/main" id="{D5C341E4-FCDF-3CA0-53E3-656A46D91426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6C8DCD5B-AE8D-0609-B43D-6CDFD5F756E3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2F90267-5833-A60C-05DF-66B900638741}"/>
              </a:ext>
            </a:extLst>
          </xdr:cNvPr>
          <xdr:cNvCxnSpPr/>
        </xdr:nvCxnSpPr>
        <xdr:spPr>
          <a:xfrm>
            <a:off x="633119" y="6513710"/>
            <a:ext cx="6096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C79175FF-DF64-FE61-5DEF-F26452D0BF5C}"/>
              </a:ext>
            </a:extLst>
          </xdr:cNvPr>
          <xdr:cNvCxnSpPr/>
        </xdr:nvCxnSpPr>
        <xdr:spPr>
          <a:xfrm>
            <a:off x="645311" y="6539389"/>
            <a:ext cx="36577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1030</xdr:colOff>
      <xdr:row>140</xdr:row>
      <xdr:rowOff>113138</xdr:rowOff>
    </xdr:from>
    <xdr:to>
      <xdr:col>11</xdr:col>
      <xdr:colOff>1030</xdr:colOff>
      <xdr:row>148</xdr:row>
      <xdr:rowOff>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56944730-C046-49A6-948F-4F00DE4FC40E}"/>
            </a:ext>
          </a:extLst>
        </xdr:cNvPr>
        <xdr:cNvCxnSpPr/>
      </xdr:nvCxnSpPr>
      <xdr:spPr>
        <a:xfrm>
          <a:off x="2972830" y="31278938"/>
          <a:ext cx="0" cy="164899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147</xdr:row>
      <xdr:rowOff>28575</xdr:rowOff>
    </xdr:from>
    <xdr:to>
      <xdr:col>13</xdr:col>
      <xdr:colOff>171450</xdr:colOff>
      <xdr:row>148</xdr:row>
      <xdr:rowOff>76200</xdr:rowOff>
    </xdr:to>
    <xdr:grpSp>
      <xdr:nvGrpSpPr>
        <xdr:cNvPr id="30" name="그룹 23">
          <a:extLst>
            <a:ext uri="{FF2B5EF4-FFF2-40B4-BE49-F238E27FC236}">
              <a16:creationId xmlns:a16="http://schemas.microsoft.com/office/drawing/2014/main" id="{7D994351-27BC-49BA-BE05-824D6EEB4753}"/>
            </a:ext>
          </a:extLst>
        </xdr:cNvPr>
        <xdr:cNvGrpSpPr>
          <a:grpSpLocks/>
        </xdr:cNvGrpSpPr>
      </xdr:nvGrpSpPr>
      <xdr:grpSpPr bwMode="auto">
        <a:xfrm>
          <a:off x="3619500" y="32737425"/>
          <a:ext cx="95250" cy="266700"/>
          <a:chOff x="608734" y="6393872"/>
          <a:chExt cx="109732" cy="145517"/>
        </a:xfrm>
      </xdr:grpSpPr>
      <xdr:sp macro="" textlink="">
        <xdr:nvSpPr>
          <xdr:cNvPr id="31" name="이등변 삼각형 30">
            <a:extLst>
              <a:ext uri="{FF2B5EF4-FFF2-40B4-BE49-F238E27FC236}">
                <a16:creationId xmlns:a16="http://schemas.microsoft.com/office/drawing/2014/main" id="{4F74B0EC-5BBA-ACCE-4899-1880269329B4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E8B8BDBE-DC52-B15F-63B7-9462A797A0FD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3E7778C3-825F-A084-4AE3-3BC99C7FA929}"/>
              </a:ext>
            </a:extLst>
          </xdr:cNvPr>
          <xdr:cNvCxnSpPr/>
        </xdr:nvCxnSpPr>
        <xdr:spPr>
          <a:xfrm>
            <a:off x="630680" y="6513710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4167A505-F75F-5DD1-D4B1-6FAB3DA9E3A2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76200</xdr:colOff>
      <xdr:row>151</xdr:row>
      <xdr:rowOff>28575</xdr:rowOff>
    </xdr:from>
    <xdr:to>
      <xdr:col>21</xdr:col>
      <xdr:colOff>171450</xdr:colOff>
      <xdr:row>152</xdr:row>
      <xdr:rowOff>66675</xdr:rowOff>
    </xdr:to>
    <xdr:grpSp>
      <xdr:nvGrpSpPr>
        <xdr:cNvPr id="35" name="그룹 28">
          <a:extLst>
            <a:ext uri="{FF2B5EF4-FFF2-40B4-BE49-F238E27FC236}">
              <a16:creationId xmlns:a16="http://schemas.microsoft.com/office/drawing/2014/main" id="{9D6554E3-4F05-4568-93E5-0B7E3BB8F217}"/>
            </a:ext>
          </a:extLst>
        </xdr:cNvPr>
        <xdr:cNvGrpSpPr>
          <a:grpSpLocks/>
        </xdr:cNvGrpSpPr>
      </xdr:nvGrpSpPr>
      <xdr:grpSpPr bwMode="auto">
        <a:xfrm>
          <a:off x="5819775" y="33613725"/>
          <a:ext cx="95250" cy="257175"/>
          <a:chOff x="608734" y="6393872"/>
          <a:chExt cx="109732" cy="145517"/>
        </a:xfrm>
      </xdr:grpSpPr>
      <xdr:sp macro="" textlink="">
        <xdr:nvSpPr>
          <xdr:cNvPr id="36" name="이등변 삼각형 35">
            <a:extLst>
              <a:ext uri="{FF2B5EF4-FFF2-40B4-BE49-F238E27FC236}">
                <a16:creationId xmlns:a16="http://schemas.microsoft.com/office/drawing/2014/main" id="{2956D96B-DA25-1323-A758-552AAAAED852}"/>
              </a:ext>
            </a:extLst>
          </xdr:cNvPr>
          <xdr:cNvSpPr/>
        </xdr:nvSpPr>
        <xdr:spPr>
          <a:xfrm flipV="1">
            <a:off x="608734" y="6393872"/>
            <a:ext cx="109732" cy="63664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8903D53-50C7-1CC0-A8F8-B99C78ABCB33}"/>
              </a:ext>
            </a:extLst>
          </xdr:cNvPr>
          <xdr:cNvCxnSpPr/>
        </xdr:nvCxnSpPr>
        <xdr:spPr>
          <a:xfrm>
            <a:off x="608734" y="6493915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11CD4402-461E-67F7-372D-3268AD88D4A5}"/>
              </a:ext>
            </a:extLst>
          </xdr:cNvPr>
          <xdr:cNvCxnSpPr/>
        </xdr:nvCxnSpPr>
        <xdr:spPr>
          <a:xfrm>
            <a:off x="630680" y="6521199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26844E46-348E-1F66-3424-0EEBB80041E7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3410</xdr:colOff>
      <xdr:row>140</xdr:row>
      <xdr:rowOff>113139</xdr:rowOff>
    </xdr:from>
    <xdr:to>
      <xdr:col>19</xdr:col>
      <xdr:colOff>3410</xdr:colOff>
      <xdr:row>152</xdr:row>
      <xdr:rowOff>0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4620537F-69A7-4663-A991-9550762724BB}"/>
            </a:ext>
          </a:extLst>
        </xdr:cNvPr>
        <xdr:cNvCxnSpPr/>
      </xdr:nvCxnSpPr>
      <xdr:spPr>
        <a:xfrm>
          <a:off x="5213585" y="31278939"/>
          <a:ext cx="0" cy="2525286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224866</xdr:colOff>
      <xdr:row>141</xdr:row>
      <xdr:rowOff>30</xdr:rowOff>
    </xdr:from>
    <xdr:to>
      <xdr:col>23</xdr:col>
      <xdr:colOff>224866</xdr:colOff>
      <xdr:row>149</xdr:row>
      <xdr:rowOff>107430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31A3F2F7-DA39-4654-9EE2-0CACB16D6C70}"/>
            </a:ext>
          </a:extLst>
        </xdr:cNvPr>
        <xdr:cNvCxnSpPr/>
      </xdr:nvCxnSpPr>
      <xdr:spPr>
        <a:xfrm>
          <a:off x="6501841" y="31394430"/>
          <a:ext cx="0" cy="186000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1030</xdr:colOff>
      <xdr:row>141</xdr:row>
      <xdr:rowOff>28</xdr:rowOff>
    </xdr:from>
    <xdr:to>
      <xdr:col>16</xdr:col>
      <xdr:colOff>1030</xdr:colOff>
      <xdr:row>144</xdr:row>
      <xdr:rowOff>0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A9A679CB-6983-4059-894C-093FA8C667C7}"/>
            </a:ext>
          </a:extLst>
        </xdr:cNvPr>
        <xdr:cNvCxnSpPr/>
      </xdr:nvCxnSpPr>
      <xdr:spPr>
        <a:xfrm>
          <a:off x="4344430" y="31394428"/>
          <a:ext cx="0" cy="657197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168768</xdr:colOff>
      <xdr:row>144</xdr:row>
      <xdr:rowOff>548</xdr:rowOff>
    </xdr:from>
    <xdr:to>
      <xdr:col>16</xdr:col>
      <xdr:colOff>61298</xdr:colOff>
      <xdr:row>144</xdr:row>
      <xdr:rowOff>548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4A265FD0-E7E5-44DC-95D4-F3297024A4B2}"/>
            </a:ext>
          </a:extLst>
        </xdr:cNvPr>
        <xdr:cNvCxnSpPr/>
      </xdr:nvCxnSpPr>
      <xdr:spPr>
        <a:xfrm rot="5400000">
          <a:off x="4325083" y="31972558"/>
          <a:ext cx="0" cy="15923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59349</xdr:colOff>
      <xdr:row>341</xdr:row>
      <xdr:rowOff>125353</xdr:rowOff>
    </xdr:from>
    <xdr:to>
      <xdr:col>12</xdr:col>
      <xdr:colOff>247651</xdr:colOff>
      <xdr:row>343</xdr:row>
      <xdr:rowOff>139211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51663969-D8B3-41DF-9C01-68759A41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4249" y="71181853"/>
          <a:ext cx="2321902" cy="3567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24849</xdr:colOff>
      <xdr:row>344</xdr:row>
      <xdr:rowOff>3312</xdr:rowOff>
    </xdr:from>
    <xdr:to>
      <xdr:col>19</xdr:col>
      <xdr:colOff>197900</xdr:colOff>
      <xdr:row>345</xdr:row>
      <xdr:rowOff>138083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60FF649F-68BB-429C-A14E-1A37B05C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63149" y="71583687"/>
          <a:ext cx="3744926" cy="315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38100</xdr:colOff>
      <xdr:row>346</xdr:row>
      <xdr:rowOff>2932</xdr:rowOff>
    </xdr:from>
    <xdr:to>
      <xdr:col>19</xdr:col>
      <xdr:colOff>262890</xdr:colOff>
      <xdr:row>347</xdr:row>
      <xdr:rowOff>153867</xdr:rowOff>
    </xdr:to>
    <xdr:pic>
      <xdr:nvPicPr>
        <xdr:cNvPr id="46" name="Picture 7">
          <a:extLst>
            <a:ext uri="{FF2B5EF4-FFF2-40B4-BE49-F238E27FC236}">
              <a16:creationId xmlns:a16="http://schemas.microsoft.com/office/drawing/2014/main" id="{2F4431F6-EAC8-472B-AAA3-16423183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6400" y="71945257"/>
          <a:ext cx="3796665" cy="3319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66675</xdr:colOff>
      <xdr:row>348</xdr:row>
      <xdr:rowOff>29308</xdr:rowOff>
    </xdr:from>
    <xdr:to>
      <xdr:col>13</xdr:col>
      <xdr:colOff>140589</xdr:colOff>
      <xdr:row>350</xdr:row>
      <xdr:rowOff>153866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CEAE147F-DEE5-4C37-B71D-DBF281E85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1575" y="72333583"/>
          <a:ext cx="2512314" cy="4865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38100</xdr:colOff>
      <xdr:row>351</xdr:row>
      <xdr:rowOff>0</xdr:rowOff>
    </xdr:from>
    <xdr:to>
      <xdr:col>7</xdr:col>
      <xdr:colOff>115062</xdr:colOff>
      <xdr:row>352</xdr:row>
      <xdr:rowOff>136427</xdr:rowOff>
    </xdr:to>
    <xdr:pic>
      <xdr:nvPicPr>
        <xdr:cNvPr id="48" name="Picture 11">
          <a:extLst>
            <a:ext uri="{FF2B5EF4-FFF2-40B4-BE49-F238E27FC236}">
              <a16:creationId xmlns:a16="http://schemas.microsoft.com/office/drawing/2014/main" id="{96DE7728-5079-4A06-82D2-62C13574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72847200"/>
          <a:ext cx="877062" cy="3174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19050</xdr:colOff>
      <xdr:row>352</xdr:row>
      <xdr:rowOff>142875</xdr:rowOff>
    </xdr:from>
    <xdr:to>
      <xdr:col>14</xdr:col>
      <xdr:colOff>31242</xdr:colOff>
      <xdr:row>355</xdr:row>
      <xdr:rowOff>149195</xdr:rowOff>
    </xdr:to>
    <xdr:pic>
      <xdr:nvPicPr>
        <xdr:cNvPr id="49" name="Picture 13">
          <a:extLst>
            <a:ext uri="{FF2B5EF4-FFF2-40B4-BE49-F238E27FC236}">
              <a16:creationId xmlns:a16="http://schemas.microsoft.com/office/drawing/2014/main" id="{823C4688-AF44-4C77-A017-8368ECC9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7350" y="73171050"/>
          <a:ext cx="2183892" cy="5492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142875</xdr:colOff>
      <xdr:row>345</xdr:row>
      <xdr:rowOff>219075</xdr:rowOff>
    </xdr:from>
    <xdr:to>
      <xdr:col>31</xdr:col>
      <xdr:colOff>238887</xdr:colOff>
      <xdr:row>348</xdr:row>
      <xdr:rowOff>135109</xdr:rowOff>
    </xdr:to>
    <xdr:pic>
      <xdr:nvPicPr>
        <xdr:cNvPr id="50" name="Picture 15">
          <a:extLst>
            <a:ext uri="{FF2B5EF4-FFF2-40B4-BE49-F238E27FC236}">
              <a16:creationId xmlns:a16="http://schemas.microsoft.com/office/drawing/2014/main" id="{4DFFA7DD-91B1-4BDC-9933-3C15E1F98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53350" y="71942325"/>
          <a:ext cx="981837" cy="4970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190500</xdr:colOff>
      <xdr:row>349</xdr:row>
      <xdr:rowOff>0</xdr:rowOff>
    </xdr:from>
    <xdr:to>
      <xdr:col>31</xdr:col>
      <xdr:colOff>373380</xdr:colOff>
      <xdr:row>350</xdr:row>
      <xdr:rowOff>104345</xdr:rowOff>
    </xdr:to>
    <xdr:pic>
      <xdr:nvPicPr>
        <xdr:cNvPr id="51" name="Picture 17">
          <a:extLst>
            <a:ext uri="{FF2B5EF4-FFF2-40B4-BE49-F238E27FC236}">
              <a16:creationId xmlns:a16="http://schemas.microsoft.com/office/drawing/2014/main" id="{EACE2440-6945-4CA0-9DFB-050D7E41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00975" y="72485250"/>
          <a:ext cx="1068705" cy="285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356</xdr:row>
      <xdr:rowOff>76200</xdr:rowOff>
    </xdr:from>
    <xdr:to>
      <xdr:col>9</xdr:col>
      <xdr:colOff>129921</xdr:colOff>
      <xdr:row>357</xdr:row>
      <xdr:rowOff>27257</xdr:rowOff>
    </xdr:to>
    <xdr:pic>
      <xdr:nvPicPr>
        <xdr:cNvPr id="52" name="Picture 21">
          <a:extLst>
            <a:ext uri="{FF2B5EF4-FFF2-40B4-BE49-F238E27FC236}">
              <a16:creationId xmlns:a16="http://schemas.microsoft.com/office/drawing/2014/main" id="{52D91BB8-134D-46A9-B45A-38F8201DE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3828275"/>
          <a:ext cx="663321" cy="1320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357</xdr:row>
      <xdr:rowOff>28575</xdr:rowOff>
    </xdr:from>
    <xdr:to>
      <xdr:col>12</xdr:col>
      <xdr:colOff>185039</xdr:colOff>
      <xdr:row>358</xdr:row>
      <xdr:rowOff>167200</xdr:rowOff>
    </xdr:to>
    <xdr:pic>
      <xdr:nvPicPr>
        <xdr:cNvPr id="53" name="Picture 25">
          <a:extLst>
            <a:ext uri="{FF2B5EF4-FFF2-40B4-BE49-F238E27FC236}">
              <a16:creationId xmlns:a16="http://schemas.microsoft.com/office/drawing/2014/main" id="{74770F0E-850D-4C8F-ADB3-A7F21B84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3961625"/>
          <a:ext cx="1851914" cy="31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359</xdr:row>
      <xdr:rowOff>19050</xdr:rowOff>
    </xdr:from>
    <xdr:to>
      <xdr:col>10</xdr:col>
      <xdr:colOff>59944</xdr:colOff>
      <xdr:row>361</xdr:row>
      <xdr:rowOff>3078</xdr:rowOff>
    </xdr:to>
    <xdr:pic>
      <xdr:nvPicPr>
        <xdr:cNvPr id="54" name="Picture 27">
          <a:extLst>
            <a:ext uri="{FF2B5EF4-FFF2-40B4-BE49-F238E27FC236}">
              <a16:creationId xmlns:a16="http://schemas.microsoft.com/office/drawing/2014/main" id="{77C57FB6-C7D4-42A1-9C4E-A79701F6F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4314050"/>
          <a:ext cx="993394" cy="34597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357</xdr:row>
      <xdr:rowOff>19050</xdr:rowOff>
    </xdr:from>
    <xdr:to>
      <xdr:col>23</xdr:col>
      <xdr:colOff>218059</xdr:colOff>
      <xdr:row>358</xdr:row>
      <xdr:rowOff>157675</xdr:rowOff>
    </xdr:to>
    <xdr:pic>
      <xdr:nvPicPr>
        <xdr:cNvPr id="55" name="Picture 29">
          <a:extLst>
            <a:ext uri="{FF2B5EF4-FFF2-40B4-BE49-F238E27FC236}">
              <a16:creationId xmlns:a16="http://schemas.microsoft.com/office/drawing/2014/main" id="{87D2B956-FB6B-46FA-9C4F-CBEAB5304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3952100"/>
          <a:ext cx="1846834" cy="31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359</xdr:row>
      <xdr:rowOff>19050</xdr:rowOff>
    </xdr:from>
    <xdr:to>
      <xdr:col>23</xdr:col>
      <xdr:colOff>237109</xdr:colOff>
      <xdr:row>360</xdr:row>
      <xdr:rowOff>157676</xdr:rowOff>
    </xdr:to>
    <xdr:pic>
      <xdr:nvPicPr>
        <xdr:cNvPr id="56" name="Picture 31">
          <a:extLst>
            <a:ext uri="{FF2B5EF4-FFF2-40B4-BE49-F238E27FC236}">
              <a16:creationId xmlns:a16="http://schemas.microsoft.com/office/drawing/2014/main" id="{E8777EB4-EA6A-4B46-BC3A-8AF8D42F5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4314050"/>
          <a:ext cx="1865884" cy="3196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360</xdr:row>
      <xdr:rowOff>219075</xdr:rowOff>
    </xdr:from>
    <xdr:to>
      <xdr:col>11</xdr:col>
      <xdr:colOff>253619</xdr:colOff>
      <xdr:row>363</xdr:row>
      <xdr:rowOff>2775</xdr:rowOff>
    </xdr:to>
    <xdr:pic>
      <xdr:nvPicPr>
        <xdr:cNvPr id="57" name="Picture 33">
          <a:extLst>
            <a:ext uri="{FF2B5EF4-FFF2-40B4-BE49-F238E27FC236}">
              <a16:creationId xmlns:a16="http://schemas.microsoft.com/office/drawing/2014/main" id="{CEB54C71-9757-4F65-9EB9-F6AF7C54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4656950"/>
          <a:ext cx="1529969" cy="364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0</xdr:colOff>
      <xdr:row>365</xdr:row>
      <xdr:rowOff>76200</xdr:rowOff>
    </xdr:from>
    <xdr:to>
      <xdr:col>9</xdr:col>
      <xdr:colOff>126111</xdr:colOff>
      <xdr:row>366</xdr:row>
      <xdr:rowOff>38100</xdr:rowOff>
    </xdr:to>
    <xdr:pic>
      <xdr:nvPicPr>
        <xdr:cNvPr id="58" name="Picture 21">
          <a:extLst>
            <a:ext uri="{FF2B5EF4-FFF2-40B4-BE49-F238E27FC236}">
              <a16:creationId xmlns:a16="http://schemas.microsoft.com/office/drawing/2014/main" id="{8FF48990-0CBA-4392-8FDE-41D9D9EAB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545705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366</xdr:row>
      <xdr:rowOff>28575</xdr:rowOff>
    </xdr:from>
    <xdr:to>
      <xdr:col>12</xdr:col>
      <xdr:colOff>185039</xdr:colOff>
      <xdr:row>367</xdr:row>
      <xdr:rowOff>175260</xdr:rowOff>
    </xdr:to>
    <xdr:pic>
      <xdr:nvPicPr>
        <xdr:cNvPr id="59" name="Picture 25">
          <a:extLst>
            <a:ext uri="{FF2B5EF4-FFF2-40B4-BE49-F238E27FC236}">
              <a16:creationId xmlns:a16="http://schemas.microsoft.com/office/drawing/2014/main" id="{09A7E4C8-C09A-4CA4-8947-E0C154F7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5590400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368</xdr:row>
      <xdr:rowOff>19050</xdr:rowOff>
    </xdr:from>
    <xdr:to>
      <xdr:col>10</xdr:col>
      <xdr:colOff>59944</xdr:colOff>
      <xdr:row>370</xdr:row>
      <xdr:rowOff>13335</xdr:rowOff>
    </xdr:to>
    <xdr:pic>
      <xdr:nvPicPr>
        <xdr:cNvPr id="60" name="Picture 27">
          <a:extLst>
            <a:ext uri="{FF2B5EF4-FFF2-40B4-BE49-F238E27FC236}">
              <a16:creationId xmlns:a16="http://schemas.microsoft.com/office/drawing/2014/main" id="{ABA893B0-E840-4C0E-AD28-EC0AAEFA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5942825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366</xdr:row>
      <xdr:rowOff>19050</xdr:rowOff>
    </xdr:from>
    <xdr:to>
      <xdr:col>23</xdr:col>
      <xdr:colOff>218059</xdr:colOff>
      <xdr:row>367</xdr:row>
      <xdr:rowOff>165735</xdr:rowOff>
    </xdr:to>
    <xdr:pic>
      <xdr:nvPicPr>
        <xdr:cNvPr id="61" name="Picture 29">
          <a:extLst>
            <a:ext uri="{FF2B5EF4-FFF2-40B4-BE49-F238E27FC236}">
              <a16:creationId xmlns:a16="http://schemas.microsoft.com/office/drawing/2014/main" id="{E3CE6800-0592-46CA-898C-5284E0A2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5580875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368</xdr:row>
      <xdr:rowOff>19050</xdr:rowOff>
    </xdr:from>
    <xdr:to>
      <xdr:col>23</xdr:col>
      <xdr:colOff>237109</xdr:colOff>
      <xdr:row>369</xdr:row>
      <xdr:rowOff>165735</xdr:rowOff>
    </xdr:to>
    <xdr:pic>
      <xdr:nvPicPr>
        <xdr:cNvPr id="62" name="Picture 31">
          <a:extLst>
            <a:ext uri="{FF2B5EF4-FFF2-40B4-BE49-F238E27FC236}">
              <a16:creationId xmlns:a16="http://schemas.microsoft.com/office/drawing/2014/main" id="{E3832D9F-B200-48E0-BC51-B085A2B24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5942825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369</xdr:row>
      <xdr:rowOff>219075</xdr:rowOff>
    </xdr:from>
    <xdr:to>
      <xdr:col>11</xdr:col>
      <xdr:colOff>253619</xdr:colOff>
      <xdr:row>372</xdr:row>
      <xdr:rowOff>18161</xdr:rowOff>
    </xdr:to>
    <xdr:pic>
      <xdr:nvPicPr>
        <xdr:cNvPr id="63" name="Picture 33">
          <a:extLst>
            <a:ext uri="{FF2B5EF4-FFF2-40B4-BE49-F238E27FC236}">
              <a16:creationId xmlns:a16="http://schemas.microsoft.com/office/drawing/2014/main" id="{2E0E20AF-4760-410C-B5B2-EAA71B828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628572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0</xdr:colOff>
      <xdr:row>374</xdr:row>
      <xdr:rowOff>76200</xdr:rowOff>
    </xdr:from>
    <xdr:ext cx="659511" cy="142875"/>
    <xdr:pic>
      <xdr:nvPicPr>
        <xdr:cNvPr id="64" name="Picture 21">
          <a:extLst>
            <a:ext uri="{FF2B5EF4-FFF2-40B4-BE49-F238E27FC236}">
              <a16:creationId xmlns:a16="http://schemas.microsoft.com/office/drawing/2014/main" id="{2490E868-4C84-4755-ADCF-B01A61E8F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7085825"/>
          <a:ext cx="659511" cy="142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200025</xdr:colOff>
      <xdr:row>375</xdr:row>
      <xdr:rowOff>28575</xdr:rowOff>
    </xdr:from>
    <xdr:ext cx="1851914" cy="327660"/>
    <xdr:pic>
      <xdr:nvPicPr>
        <xdr:cNvPr id="65" name="Picture 25">
          <a:extLst>
            <a:ext uri="{FF2B5EF4-FFF2-40B4-BE49-F238E27FC236}">
              <a16:creationId xmlns:a16="http://schemas.microsoft.com/office/drawing/2014/main" id="{4DEE7F1F-6B63-43A9-A9E3-FE01AE81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72191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133350</xdr:colOff>
      <xdr:row>377</xdr:row>
      <xdr:rowOff>19050</xdr:rowOff>
    </xdr:from>
    <xdr:ext cx="993394" cy="356235"/>
    <xdr:pic>
      <xdr:nvPicPr>
        <xdr:cNvPr id="66" name="Picture 27">
          <a:extLst>
            <a:ext uri="{FF2B5EF4-FFF2-40B4-BE49-F238E27FC236}">
              <a16:creationId xmlns:a16="http://schemas.microsoft.com/office/drawing/2014/main" id="{D002E68C-A279-4E05-B453-5B9E869D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7571600"/>
          <a:ext cx="993394" cy="3562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375</xdr:row>
      <xdr:rowOff>19050</xdr:rowOff>
    </xdr:from>
    <xdr:ext cx="1846834" cy="327660"/>
    <xdr:pic>
      <xdr:nvPicPr>
        <xdr:cNvPr id="67" name="Picture 29">
          <a:extLst>
            <a:ext uri="{FF2B5EF4-FFF2-40B4-BE49-F238E27FC236}">
              <a16:creationId xmlns:a16="http://schemas.microsoft.com/office/drawing/2014/main" id="{CF3D8FF6-31E4-4F8B-8DFB-FD690C255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72096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377</xdr:row>
      <xdr:rowOff>19050</xdr:rowOff>
    </xdr:from>
    <xdr:ext cx="1865884" cy="327660"/>
    <xdr:pic>
      <xdr:nvPicPr>
        <xdr:cNvPr id="68" name="Picture 31">
          <a:extLst>
            <a:ext uri="{FF2B5EF4-FFF2-40B4-BE49-F238E27FC236}">
              <a16:creationId xmlns:a16="http://schemas.microsoft.com/office/drawing/2014/main" id="{3A01457C-DE67-44B4-9E14-ED76CB17B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75716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57150</xdr:colOff>
      <xdr:row>378</xdr:row>
      <xdr:rowOff>219075</xdr:rowOff>
    </xdr:from>
    <xdr:ext cx="1529969" cy="380111"/>
    <xdr:pic>
      <xdr:nvPicPr>
        <xdr:cNvPr id="69" name="Picture 33">
          <a:extLst>
            <a:ext uri="{FF2B5EF4-FFF2-40B4-BE49-F238E27FC236}">
              <a16:creationId xmlns:a16="http://schemas.microsoft.com/office/drawing/2014/main" id="{F2D62607-1092-4D74-80C6-792F7ADE5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7895450"/>
          <a:ext cx="1529969" cy="3801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0</xdr:colOff>
      <xdr:row>374</xdr:row>
      <xdr:rowOff>76200</xdr:rowOff>
    </xdr:from>
    <xdr:to>
      <xdr:col>9</xdr:col>
      <xdr:colOff>126111</xdr:colOff>
      <xdr:row>375</xdr:row>
      <xdr:rowOff>38100</xdr:rowOff>
    </xdr:to>
    <xdr:pic>
      <xdr:nvPicPr>
        <xdr:cNvPr id="70" name="Picture 21">
          <a:extLst>
            <a:ext uri="{FF2B5EF4-FFF2-40B4-BE49-F238E27FC236}">
              <a16:creationId xmlns:a16="http://schemas.microsoft.com/office/drawing/2014/main" id="{832D9ACF-8528-4202-B313-6CD8D9B3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7085825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375</xdr:row>
      <xdr:rowOff>28575</xdr:rowOff>
    </xdr:from>
    <xdr:to>
      <xdr:col>12</xdr:col>
      <xdr:colOff>185039</xdr:colOff>
      <xdr:row>376</xdr:row>
      <xdr:rowOff>175260</xdr:rowOff>
    </xdr:to>
    <xdr:pic>
      <xdr:nvPicPr>
        <xdr:cNvPr id="71" name="Picture 25">
          <a:extLst>
            <a:ext uri="{FF2B5EF4-FFF2-40B4-BE49-F238E27FC236}">
              <a16:creationId xmlns:a16="http://schemas.microsoft.com/office/drawing/2014/main" id="{45F7CBF9-1D21-4DCA-8C30-1366C7127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72191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377</xdr:row>
      <xdr:rowOff>19050</xdr:rowOff>
    </xdr:from>
    <xdr:to>
      <xdr:col>10</xdr:col>
      <xdr:colOff>59944</xdr:colOff>
      <xdr:row>379</xdr:row>
      <xdr:rowOff>32385</xdr:rowOff>
    </xdr:to>
    <xdr:pic>
      <xdr:nvPicPr>
        <xdr:cNvPr id="72" name="Picture 27">
          <a:extLst>
            <a:ext uri="{FF2B5EF4-FFF2-40B4-BE49-F238E27FC236}">
              <a16:creationId xmlns:a16="http://schemas.microsoft.com/office/drawing/2014/main" id="{56352FB9-6BF5-4597-AD03-708A5BBA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75716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375</xdr:row>
      <xdr:rowOff>19050</xdr:rowOff>
    </xdr:from>
    <xdr:to>
      <xdr:col>23</xdr:col>
      <xdr:colOff>218059</xdr:colOff>
      <xdr:row>376</xdr:row>
      <xdr:rowOff>165735</xdr:rowOff>
    </xdr:to>
    <xdr:pic>
      <xdr:nvPicPr>
        <xdr:cNvPr id="73" name="Picture 29">
          <a:extLst>
            <a:ext uri="{FF2B5EF4-FFF2-40B4-BE49-F238E27FC236}">
              <a16:creationId xmlns:a16="http://schemas.microsoft.com/office/drawing/2014/main" id="{FACC5827-C5CB-4C63-BFA9-303F095AB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72096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377</xdr:row>
      <xdr:rowOff>19050</xdr:rowOff>
    </xdr:from>
    <xdr:to>
      <xdr:col>23</xdr:col>
      <xdr:colOff>237109</xdr:colOff>
      <xdr:row>379</xdr:row>
      <xdr:rowOff>3810</xdr:rowOff>
    </xdr:to>
    <xdr:pic>
      <xdr:nvPicPr>
        <xdr:cNvPr id="74" name="Picture 31">
          <a:extLst>
            <a:ext uri="{FF2B5EF4-FFF2-40B4-BE49-F238E27FC236}">
              <a16:creationId xmlns:a16="http://schemas.microsoft.com/office/drawing/2014/main" id="{E1AD1E8A-400A-4B45-AEDD-55C8EB502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75716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378</xdr:row>
      <xdr:rowOff>219075</xdr:rowOff>
    </xdr:from>
    <xdr:to>
      <xdr:col>11</xdr:col>
      <xdr:colOff>253619</xdr:colOff>
      <xdr:row>381</xdr:row>
      <xdr:rowOff>37211</xdr:rowOff>
    </xdr:to>
    <xdr:pic>
      <xdr:nvPicPr>
        <xdr:cNvPr id="75" name="Picture 33">
          <a:extLst>
            <a:ext uri="{FF2B5EF4-FFF2-40B4-BE49-F238E27FC236}">
              <a16:creationId xmlns:a16="http://schemas.microsoft.com/office/drawing/2014/main" id="{4C65513B-CA04-4996-8C64-628CBAAF5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7895450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38100</xdr:colOff>
      <xdr:row>603</xdr:row>
      <xdr:rowOff>9525</xdr:rowOff>
    </xdr:from>
    <xdr:to>
      <xdr:col>26</xdr:col>
      <xdr:colOff>38100</xdr:colOff>
      <xdr:row>610</xdr:row>
      <xdr:rowOff>14654</xdr:rowOff>
    </xdr:to>
    <xdr:pic>
      <xdr:nvPicPr>
        <xdr:cNvPr id="76" name="_x112452064" descr="EMB000009b04720">
          <a:extLst>
            <a:ext uri="{FF2B5EF4-FFF2-40B4-BE49-F238E27FC236}">
              <a16:creationId xmlns:a16="http://schemas.microsoft.com/office/drawing/2014/main" id="{00C42AF7-A5CD-4CB6-95DE-76FA6999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-1012" t="-5659" r="-1112" b="-4906"/>
        <a:stretch>
          <a:fillRect/>
        </a:stretch>
      </xdr:blipFill>
      <xdr:spPr bwMode="auto">
        <a:xfrm>
          <a:off x="4381500" y="123644025"/>
          <a:ext cx="2733675" cy="1872029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35</xdr:col>
      <xdr:colOff>417634</xdr:colOff>
      <xdr:row>45</xdr:row>
      <xdr:rowOff>73270</xdr:rowOff>
    </xdr:from>
    <xdr:to>
      <xdr:col>49</xdr:col>
      <xdr:colOff>402981</xdr:colOff>
      <xdr:row>62</xdr:row>
      <xdr:rowOff>112576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622AD5DF-1314-4198-B5CF-F6BD5D109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57009" y="11227045"/>
          <a:ext cx="5205047" cy="36016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121021</xdr:colOff>
      <xdr:row>1</xdr:row>
      <xdr:rowOff>74905</xdr:rowOff>
    </xdr:from>
    <xdr:to>
      <xdr:col>24</xdr:col>
      <xdr:colOff>63310</xdr:colOff>
      <xdr:row>1</xdr:row>
      <xdr:rowOff>571501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0C943C5E-FFAF-435C-A272-1311964C242B}"/>
            </a:ext>
          </a:extLst>
        </xdr:cNvPr>
        <xdr:cNvSpPr>
          <a:spLocks noChangeArrowheads="1"/>
        </xdr:cNvSpPr>
      </xdr:nvSpPr>
      <xdr:spPr bwMode="auto">
        <a:xfrm>
          <a:off x="1006846" y="351130"/>
          <a:ext cx="5142939" cy="49659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구 조 안 전 확 인 서</a:t>
          </a:r>
        </a:p>
      </xdr:txBody>
    </xdr:sp>
    <xdr:clientData/>
  </xdr:twoCellAnchor>
  <xdr:twoCellAnchor>
    <xdr:from>
      <xdr:col>3</xdr:col>
      <xdr:colOff>121021</xdr:colOff>
      <xdr:row>1</xdr:row>
      <xdr:rowOff>74905</xdr:rowOff>
    </xdr:from>
    <xdr:to>
      <xdr:col>24</xdr:col>
      <xdr:colOff>63310</xdr:colOff>
      <xdr:row>1</xdr:row>
      <xdr:rowOff>571501</xdr:rowOff>
    </xdr:to>
    <xdr:sp macro="" textlink="">
      <xdr:nvSpPr>
        <xdr:cNvPr id="4" name="Rectangle 49">
          <a:extLst>
            <a:ext uri="{FF2B5EF4-FFF2-40B4-BE49-F238E27FC236}">
              <a16:creationId xmlns:a16="http://schemas.microsoft.com/office/drawing/2014/main" id="{0180ED23-CB26-40BF-A1A8-DBC693B5CDED}"/>
            </a:ext>
          </a:extLst>
        </xdr:cNvPr>
        <xdr:cNvSpPr>
          <a:spLocks noChangeArrowheads="1"/>
        </xdr:cNvSpPr>
      </xdr:nvSpPr>
      <xdr:spPr bwMode="auto">
        <a:xfrm>
          <a:off x="1006846" y="351130"/>
          <a:ext cx="5142939" cy="49659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기 초 안 정 성 확 인 서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257174</xdr:colOff>
      <xdr:row>485</xdr:row>
      <xdr:rowOff>132470</xdr:rowOff>
    </xdr:from>
    <xdr:to>
      <xdr:col>52</xdr:col>
      <xdr:colOff>123824</xdr:colOff>
      <xdr:row>495</xdr:row>
      <xdr:rowOff>118366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B17F28-5CA6-4FE4-A9A1-0CF09C06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6349" y="105717095"/>
          <a:ext cx="3228975" cy="2319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15039</xdr:rowOff>
    </xdr:from>
    <xdr:to>
      <xdr:col>1</xdr:col>
      <xdr:colOff>222160</xdr:colOff>
      <xdr:row>296</xdr:row>
      <xdr:rowOff>57652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D077A4-3E45-436E-8DCE-D8F05E14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061389"/>
          <a:ext cx="222160" cy="150946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190499</xdr:colOff>
      <xdr:row>306</xdr:row>
      <xdr:rowOff>80712</xdr:rowOff>
    </xdr:from>
    <xdr:to>
      <xdr:col>23</xdr:col>
      <xdr:colOff>19049</xdr:colOff>
      <xdr:row>307</xdr:row>
      <xdr:rowOff>142876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A4302C-1F9E-4BD6-943B-A13CBDC60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349" y="69327462"/>
          <a:ext cx="3019425" cy="252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140370</xdr:rowOff>
    </xdr:from>
    <xdr:to>
      <xdr:col>1</xdr:col>
      <xdr:colOff>220313</xdr:colOff>
      <xdr:row>295</xdr:row>
      <xdr:rowOff>169946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2A1B96-C0C5-452B-BCDB-D26984A0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66186720"/>
          <a:ext cx="220313" cy="12868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160423</xdr:rowOff>
    </xdr:from>
    <xdr:to>
      <xdr:col>1</xdr:col>
      <xdr:colOff>27229</xdr:colOff>
      <xdr:row>301</xdr:row>
      <xdr:rowOff>51135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53941D-D6DB-4B5E-8B5B-5BE582531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68302273"/>
          <a:ext cx="27229" cy="100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166</xdr:row>
      <xdr:rowOff>9525</xdr:rowOff>
    </xdr:from>
    <xdr:to>
      <xdr:col>7</xdr:col>
      <xdr:colOff>9525</xdr:colOff>
      <xdr:row>168</xdr:row>
      <xdr:rowOff>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D6A1AD47-4FB3-4129-887F-68A4E02F4D89}"/>
            </a:ext>
          </a:extLst>
        </xdr:cNvPr>
        <xdr:cNvSpPr>
          <a:spLocks noChangeShapeType="1"/>
        </xdr:cNvSpPr>
      </xdr:nvSpPr>
      <xdr:spPr bwMode="auto">
        <a:xfrm>
          <a:off x="219075" y="38357175"/>
          <a:ext cx="14478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171354</xdr:colOff>
      <xdr:row>321</xdr:row>
      <xdr:rowOff>58616</xdr:rowOff>
    </xdr:from>
    <xdr:to>
      <xdr:col>24</xdr:col>
      <xdr:colOff>152400</xdr:colOff>
      <xdr:row>352</xdr:row>
      <xdr:rowOff>117231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E0B397B9-47C7-4B34-AF0F-D590674EC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272212</xdr:colOff>
      <xdr:row>119</xdr:row>
      <xdr:rowOff>224590</xdr:rowOff>
    </xdr:from>
    <xdr:to>
      <xdr:col>24</xdr:col>
      <xdr:colOff>91965</xdr:colOff>
      <xdr:row>135</xdr:row>
      <xdr:rowOff>47626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BA64385-AC18-4F1B-B4C4-FFB47386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8988" y="27131073"/>
          <a:ext cx="6743443" cy="3383415"/>
        </a:xfrm>
        <a:prstGeom prst="rect">
          <a:avLst/>
        </a:prstGeom>
      </xdr:spPr>
    </xdr:pic>
    <xdr:clientData/>
  </xdr:twoCellAnchor>
  <xdr:twoCellAnchor>
    <xdr:from>
      <xdr:col>17</xdr:col>
      <xdr:colOff>123826</xdr:colOff>
      <xdr:row>441</xdr:row>
      <xdr:rowOff>49091</xdr:rowOff>
    </xdr:from>
    <xdr:to>
      <xdr:col>26</xdr:col>
      <xdr:colOff>19051</xdr:colOff>
      <xdr:row>468</xdr:row>
      <xdr:rowOff>95250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7237DAE9-80D9-471E-9D43-7DC0C9DFC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70184</xdr:colOff>
      <xdr:row>287</xdr:row>
      <xdr:rowOff>15039</xdr:rowOff>
    </xdr:from>
    <xdr:to>
      <xdr:col>12</xdr:col>
      <xdr:colOff>133350</xdr:colOff>
      <xdr:row>305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7DC0EFB-C28D-4DF3-B003-39CA8C7E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259" y="65680389"/>
          <a:ext cx="3244516" cy="3528261"/>
        </a:xfrm>
        <a:prstGeom prst="rect">
          <a:avLst/>
        </a:prstGeom>
      </xdr:spPr>
    </xdr:pic>
    <xdr:clientData/>
  </xdr:twoCellAnchor>
  <xdr:twoCellAnchor editAs="oneCell">
    <xdr:from>
      <xdr:col>1</xdr:col>
      <xdr:colOff>231607</xdr:colOff>
      <xdr:row>306</xdr:row>
      <xdr:rowOff>68288</xdr:rowOff>
    </xdr:from>
    <xdr:to>
      <xdr:col>12</xdr:col>
      <xdr:colOff>257175</xdr:colOff>
      <xdr:row>308</xdr:row>
      <xdr:rowOff>2255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16FED36-80BD-4D7A-94B3-A65FE62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682" y="69315038"/>
          <a:ext cx="3206918" cy="314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180471</xdr:colOff>
      <xdr:row>287</xdr:row>
      <xdr:rowOff>140370</xdr:rowOff>
    </xdr:from>
    <xdr:to>
      <xdr:col>22</xdr:col>
      <xdr:colOff>85725</xdr:colOff>
      <xdr:row>305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912916A-3D0A-4B62-B038-7A6408A3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3321" y="65805720"/>
          <a:ext cx="2943729" cy="340293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191114</xdr:colOff>
      <xdr:row>298</xdr:row>
      <xdr:rowOff>160423</xdr:rowOff>
    </xdr:from>
    <xdr:to>
      <xdr:col>14</xdr:col>
      <xdr:colOff>218343</xdr:colOff>
      <xdr:row>299</xdr:row>
      <xdr:rowOff>70185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FF6D219-A7D5-4996-B563-EB03D4C7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2114" y="67921273"/>
          <a:ext cx="27229" cy="119312"/>
        </a:xfrm>
        <a:prstGeom prst="rect">
          <a:avLst/>
        </a:prstGeom>
      </xdr:spPr>
    </xdr:pic>
    <xdr:clientData/>
  </xdr:twoCellAnchor>
  <xdr:twoCellAnchor editAs="oneCell">
    <xdr:from>
      <xdr:col>2</xdr:col>
      <xdr:colOff>278424</xdr:colOff>
      <xdr:row>20</xdr:row>
      <xdr:rowOff>219806</xdr:rowOff>
    </xdr:from>
    <xdr:to>
      <xdr:col>21</xdr:col>
      <xdr:colOff>161193</xdr:colOff>
      <xdr:row>34</xdr:row>
      <xdr:rowOff>43959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B24051-09DB-3262-8696-EFFFC255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597" y="5487864"/>
          <a:ext cx="5883519" cy="3157903"/>
        </a:xfrm>
        <a:prstGeom prst="rect">
          <a:avLst/>
        </a:prstGeom>
      </xdr:spPr>
    </xdr:pic>
    <xdr:clientData/>
  </xdr:twoCellAnchor>
  <xdr:twoCellAnchor>
    <xdr:from>
      <xdr:col>6</xdr:col>
      <xdr:colOff>138480</xdr:colOff>
      <xdr:row>27</xdr:row>
      <xdr:rowOff>12521</xdr:rowOff>
    </xdr:from>
    <xdr:to>
      <xdr:col>9</xdr:col>
      <xdr:colOff>172641</xdr:colOff>
      <xdr:row>27</xdr:row>
      <xdr:rowOff>17859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ACE2F61-5B35-47F2-BE2F-A344814CD651}"/>
            </a:ext>
          </a:extLst>
        </xdr:cNvPr>
        <xdr:cNvCxnSpPr/>
      </xdr:nvCxnSpPr>
      <xdr:spPr>
        <a:xfrm>
          <a:off x="1632714" y="6959818"/>
          <a:ext cx="1081911" cy="5338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148004</xdr:colOff>
      <xdr:row>27</xdr:row>
      <xdr:rowOff>123250</xdr:rowOff>
    </xdr:from>
    <xdr:to>
      <xdr:col>13</xdr:col>
      <xdr:colOff>226219</xdr:colOff>
      <xdr:row>27</xdr:row>
      <xdr:rowOff>160734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9CEA181-2BA6-4929-92BF-A16A7DD26134}"/>
            </a:ext>
          </a:extLst>
        </xdr:cNvPr>
        <xdr:cNvCxnSpPr/>
      </xdr:nvCxnSpPr>
      <xdr:spPr>
        <a:xfrm>
          <a:off x="2100629" y="7070547"/>
          <a:ext cx="1887965" cy="37484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90487</xdr:colOff>
      <xdr:row>25</xdr:row>
      <xdr:rowOff>114826</xdr:rowOff>
    </xdr:from>
    <xdr:to>
      <xdr:col>21</xdr:col>
      <xdr:colOff>208360</xdr:colOff>
      <xdr:row>25</xdr:row>
      <xdr:rowOff>125016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0B07291-6B65-4C62-A619-FC14ED772850}"/>
            </a:ext>
          </a:extLst>
        </xdr:cNvPr>
        <xdr:cNvCxnSpPr/>
      </xdr:nvCxnSpPr>
      <xdr:spPr>
        <a:xfrm>
          <a:off x="4597003" y="6657310"/>
          <a:ext cx="2201466" cy="101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257174</xdr:colOff>
      <xdr:row>485</xdr:row>
      <xdr:rowOff>132470</xdr:rowOff>
    </xdr:from>
    <xdr:to>
      <xdr:col>44</xdr:col>
      <xdr:colOff>9525</xdr:colOff>
      <xdr:row>496</xdr:row>
      <xdr:rowOff>146941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E084A-37C2-4FE3-809C-AAF594F4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6349" y="105717095"/>
          <a:ext cx="3228975" cy="2319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15039</xdr:rowOff>
    </xdr:from>
    <xdr:to>
      <xdr:col>1</xdr:col>
      <xdr:colOff>222160</xdr:colOff>
      <xdr:row>295</xdr:row>
      <xdr:rowOff>133852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519DCB-E995-49B2-930D-E2699AA7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061389"/>
          <a:ext cx="222160" cy="137611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190499</xdr:colOff>
      <xdr:row>306</xdr:row>
      <xdr:rowOff>80712</xdr:rowOff>
    </xdr:from>
    <xdr:to>
      <xdr:col>15</xdr:col>
      <xdr:colOff>352424</xdr:colOff>
      <xdr:row>307</xdr:row>
      <xdr:rowOff>123826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051FA0-2514-4564-93DB-FA49617A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349" y="69327462"/>
          <a:ext cx="3019425" cy="252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140370</xdr:rowOff>
    </xdr:from>
    <xdr:to>
      <xdr:col>1</xdr:col>
      <xdr:colOff>220313</xdr:colOff>
      <xdr:row>295</xdr:row>
      <xdr:rowOff>55646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9DECF6-4BC9-481B-B312-0FB06DD27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66186720"/>
          <a:ext cx="220313" cy="1172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160423</xdr:rowOff>
    </xdr:from>
    <xdr:to>
      <xdr:col>1</xdr:col>
      <xdr:colOff>27229</xdr:colOff>
      <xdr:row>301</xdr:row>
      <xdr:rowOff>32085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7A378B1-30E4-4240-9D76-01F5BDC6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68302273"/>
          <a:ext cx="27229" cy="812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166</xdr:row>
      <xdr:rowOff>9525</xdr:rowOff>
    </xdr:from>
    <xdr:to>
      <xdr:col>7</xdr:col>
      <xdr:colOff>9525</xdr:colOff>
      <xdr:row>168</xdr:row>
      <xdr:rowOff>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B24BBF0A-141C-4039-8DDB-86BFD78D168E}"/>
            </a:ext>
          </a:extLst>
        </xdr:cNvPr>
        <xdr:cNvSpPr>
          <a:spLocks noChangeShapeType="1"/>
        </xdr:cNvSpPr>
      </xdr:nvSpPr>
      <xdr:spPr bwMode="auto">
        <a:xfrm>
          <a:off x="219075" y="38357175"/>
          <a:ext cx="14478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171354</xdr:colOff>
      <xdr:row>321</xdr:row>
      <xdr:rowOff>58616</xdr:rowOff>
    </xdr:from>
    <xdr:to>
      <xdr:col>24</xdr:col>
      <xdr:colOff>152400</xdr:colOff>
      <xdr:row>352</xdr:row>
      <xdr:rowOff>117231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5AB7CB34-9E57-40E2-9914-ABAA1D5A9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272212</xdr:colOff>
      <xdr:row>119</xdr:row>
      <xdr:rowOff>224590</xdr:rowOff>
    </xdr:from>
    <xdr:to>
      <xdr:col>9</xdr:col>
      <xdr:colOff>50201</xdr:colOff>
      <xdr:row>136</xdr:row>
      <xdr:rowOff>38101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A1E089C-8519-44CB-8B72-5E953534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1287" y="27294640"/>
          <a:ext cx="6753953" cy="3394911"/>
        </a:xfrm>
        <a:prstGeom prst="rect">
          <a:avLst/>
        </a:prstGeom>
      </xdr:spPr>
    </xdr:pic>
    <xdr:clientData/>
  </xdr:twoCellAnchor>
  <xdr:twoCellAnchor>
    <xdr:from>
      <xdr:col>17</xdr:col>
      <xdr:colOff>123826</xdr:colOff>
      <xdr:row>441</xdr:row>
      <xdr:rowOff>49091</xdr:rowOff>
    </xdr:from>
    <xdr:to>
      <xdr:col>26</xdr:col>
      <xdr:colOff>19051</xdr:colOff>
      <xdr:row>468</xdr:row>
      <xdr:rowOff>95250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81F0539D-C669-404E-A29B-F038C4884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70184</xdr:colOff>
      <xdr:row>287</xdr:row>
      <xdr:rowOff>15039</xdr:rowOff>
    </xdr:from>
    <xdr:to>
      <xdr:col>4</xdr:col>
      <xdr:colOff>146538</xdr:colOff>
      <xdr:row>304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CA77CBE-36E7-44C3-8877-29020C85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259" y="65680389"/>
          <a:ext cx="3244516" cy="3528261"/>
        </a:xfrm>
        <a:prstGeom prst="rect">
          <a:avLst/>
        </a:prstGeom>
      </xdr:spPr>
    </xdr:pic>
    <xdr:clientData/>
  </xdr:twoCellAnchor>
  <xdr:twoCellAnchor editAs="oneCell">
    <xdr:from>
      <xdr:col>1</xdr:col>
      <xdr:colOff>231607</xdr:colOff>
      <xdr:row>306</xdr:row>
      <xdr:rowOff>68288</xdr:rowOff>
    </xdr:from>
    <xdr:to>
      <xdr:col>4</xdr:col>
      <xdr:colOff>165588</xdr:colOff>
      <xdr:row>307</xdr:row>
      <xdr:rowOff>173705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B99986C-797C-4206-B3F2-E409E0DE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682" y="69315038"/>
          <a:ext cx="3206918" cy="314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180471</xdr:colOff>
      <xdr:row>287</xdr:row>
      <xdr:rowOff>140370</xdr:rowOff>
    </xdr:from>
    <xdr:to>
      <xdr:col>15</xdr:col>
      <xdr:colOff>352425</xdr:colOff>
      <xdr:row>304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9A41E22-EF22-4D3A-8A64-787EB66B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3321" y="65805720"/>
          <a:ext cx="2943729" cy="340293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191114</xdr:colOff>
      <xdr:row>298</xdr:row>
      <xdr:rowOff>160423</xdr:rowOff>
    </xdr:from>
    <xdr:to>
      <xdr:col>14</xdr:col>
      <xdr:colOff>218343</xdr:colOff>
      <xdr:row>299</xdr:row>
      <xdr:rowOff>51135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136F5BA-65F6-47C8-A355-341B27C3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2114" y="67921273"/>
          <a:ext cx="27229" cy="100262"/>
        </a:xfrm>
        <a:prstGeom prst="rect">
          <a:avLst/>
        </a:prstGeom>
      </xdr:spPr>
    </xdr:pic>
    <xdr:clientData/>
  </xdr:twoCellAnchor>
  <xdr:twoCellAnchor editAs="oneCell">
    <xdr:from>
      <xdr:col>2</xdr:col>
      <xdr:colOff>278424</xdr:colOff>
      <xdr:row>22</xdr:row>
      <xdr:rowOff>28575</xdr:rowOff>
    </xdr:from>
    <xdr:to>
      <xdr:col>24</xdr:col>
      <xdr:colOff>82062</xdr:colOff>
      <xdr:row>35</xdr:row>
      <xdr:rowOff>142876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056649B-83BA-4040-800D-720856B06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0399" y="5743575"/>
          <a:ext cx="6446226" cy="3228976"/>
        </a:xfrm>
        <a:prstGeom prst="rect">
          <a:avLst/>
        </a:prstGeom>
      </xdr:spPr>
    </xdr:pic>
    <xdr:clientData/>
  </xdr:twoCellAnchor>
  <xdr:twoCellAnchor>
    <xdr:from>
      <xdr:col>8</xdr:col>
      <xdr:colOff>153133</xdr:colOff>
      <xdr:row>28</xdr:row>
      <xdr:rowOff>63811</xdr:rowOff>
    </xdr:from>
    <xdr:to>
      <xdr:col>11</xdr:col>
      <xdr:colOff>128679</xdr:colOff>
      <xdr:row>28</xdr:row>
      <xdr:rowOff>69149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5029A09C-C32D-4541-A2A4-FA7B89B6F577}"/>
            </a:ext>
          </a:extLst>
        </xdr:cNvPr>
        <xdr:cNvCxnSpPr/>
      </xdr:nvCxnSpPr>
      <xdr:spPr>
        <a:xfrm>
          <a:off x="2087441" y="7185580"/>
          <a:ext cx="1081911" cy="5338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140677</xdr:colOff>
      <xdr:row>29</xdr:row>
      <xdr:rowOff>6020</xdr:rowOff>
    </xdr:from>
    <xdr:to>
      <xdr:col>13</xdr:col>
      <xdr:colOff>218892</xdr:colOff>
      <xdr:row>29</xdr:row>
      <xdr:rowOff>43504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F4C49E5E-27D5-43F9-BA81-54CCB97CB532}"/>
            </a:ext>
          </a:extLst>
        </xdr:cNvPr>
        <xdr:cNvCxnSpPr/>
      </xdr:nvCxnSpPr>
      <xdr:spPr>
        <a:xfrm>
          <a:off x="2074985" y="7347597"/>
          <a:ext cx="1887965" cy="37484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61912</xdr:colOff>
      <xdr:row>26</xdr:row>
      <xdr:rowOff>191026</xdr:rowOff>
    </xdr:from>
    <xdr:to>
      <xdr:col>23</xdr:col>
      <xdr:colOff>170260</xdr:colOff>
      <xdr:row>27</xdr:row>
      <xdr:rowOff>1191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7B3EA8C-F759-4301-A52F-5EEDFFAA7DFE}"/>
            </a:ext>
          </a:extLst>
        </xdr:cNvPr>
        <xdr:cNvCxnSpPr/>
      </xdr:nvCxnSpPr>
      <xdr:spPr>
        <a:xfrm>
          <a:off x="4919662" y="6906151"/>
          <a:ext cx="2194323" cy="101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11205</xdr:rowOff>
    </xdr:from>
    <xdr:to>
      <xdr:col>25</xdr:col>
      <xdr:colOff>23533</xdr:colOff>
      <xdr:row>2</xdr:row>
      <xdr:rowOff>199640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36E91176-AE3D-45B5-8778-78C69B7F6F79}"/>
            </a:ext>
          </a:extLst>
        </xdr:cNvPr>
        <xdr:cNvSpPr>
          <a:spLocks noChangeArrowheads="1"/>
        </xdr:cNvSpPr>
      </xdr:nvSpPr>
      <xdr:spPr bwMode="auto">
        <a:xfrm>
          <a:off x="904875" y="268380"/>
          <a:ext cx="5071783" cy="455135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공법 개요</a:t>
          </a:r>
        </a:p>
      </xdr:txBody>
    </xdr:sp>
    <xdr:clientData/>
  </xdr:twoCellAnchor>
  <xdr:twoCellAnchor editAs="oneCell">
    <xdr:from>
      <xdr:col>1</xdr:col>
      <xdr:colOff>1</xdr:colOff>
      <xdr:row>51</xdr:row>
      <xdr:rowOff>27216</xdr:rowOff>
    </xdr:from>
    <xdr:to>
      <xdr:col>27</xdr:col>
      <xdr:colOff>195840</xdr:colOff>
      <xdr:row>71</xdr:row>
      <xdr:rowOff>54430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2D2C2D-2ACA-432B-ABF0-49106F51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6" y="9914166"/>
          <a:ext cx="6387089" cy="3837214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231323</xdr:colOff>
      <xdr:row>76</xdr:row>
      <xdr:rowOff>176894</xdr:rowOff>
    </xdr:from>
    <xdr:to>
      <xdr:col>27</xdr:col>
      <xdr:colOff>56231</xdr:colOff>
      <xdr:row>98</xdr:row>
      <xdr:rowOff>40823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A89C3B-4EA3-4265-BC74-C0CAE4E1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323" y="14826344"/>
          <a:ext cx="6254283" cy="4054929"/>
        </a:xfrm>
        <a:prstGeom prst="rect">
          <a:avLst/>
        </a:prstGeom>
      </xdr:spPr>
    </xdr:pic>
    <xdr:clientData/>
  </xdr:twoCellAnchor>
  <xdr:twoCellAnchor editAs="oneCell">
    <xdr:from>
      <xdr:col>43</xdr:col>
      <xdr:colOff>53192</xdr:colOff>
      <xdr:row>20</xdr:row>
      <xdr:rowOff>53193</xdr:rowOff>
    </xdr:from>
    <xdr:to>
      <xdr:col>70</xdr:col>
      <xdr:colOff>212428</xdr:colOff>
      <xdr:row>41</xdr:row>
      <xdr:rowOff>121229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924E337-1B1F-47A8-8C06-CCCCC52C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5867" y="4034643"/>
          <a:ext cx="6074261" cy="4068536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38</xdr:row>
      <xdr:rowOff>89064</xdr:rowOff>
    </xdr:from>
    <xdr:to>
      <xdr:col>27</xdr:col>
      <xdr:colOff>192429</xdr:colOff>
      <xdr:row>47</xdr:row>
      <xdr:rowOff>155516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6CF2F08-C717-47BB-9911-FBCD6D99C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839" y="7499514"/>
          <a:ext cx="6165965" cy="1780952"/>
        </a:xfrm>
        <a:prstGeom prst="rect">
          <a:avLst/>
        </a:prstGeom>
      </xdr:spPr>
    </xdr:pic>
    <xdr:clientData/>
  </xdr:twoCellAnchor>
  <xdr:twoCellAnchor editAs="oneCell">
    <xdr:from>
      <xdr:col>27</xdr:col>
      <xdr:colOff>68036</xdr:colOff>
      <xdr:row>0</xdr:row>
      <xdr:rowOff>54429</xdr:rowOff>
    </xdr:from>
    <xdr:to>
      <xdr:col>28</xdr:col>
      <xdr:colOff>204107</xdr:colOff>
      <xdr:row>1</xdr:row>
      <xdr:rowOff>173429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BAD48E9-7AF7-485B-A126-91F8709D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7411" y="54429"/>
          <a:ext cx="374196" cy="376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27</xdr:col>
      <xdr:colOff>173182</xdr:colOff>
      <xdr:row>19</xdr:row>
      <xdr:rowOff>3428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0530D3-3D3D-432A-AA5E-D1BB091D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1504950"/>
          <a:ext cx="6364432" cy="2289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27</xdr:col>
      <xdr:colOff>121227</xdr:colOff>
      <xdr:row>35</xdr:row>
      <xdr:rowOff>10758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37ADE22-DA9F-4B39-B1D7-1498A44E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0" y="4171950"/>
          <a:ext cx="6074352" cy="2677758"/>
        </a:xfrm>
        <a:prstGeom prst="rect">
          <a:avLst/>
        </a:prstGeom>
      </xdr:spPr>
    </xdr:pic>
    <xdr:clientData/>
  </xdr:twoCellAnchor>
  <xdr:twoCellAnchor editAs="oneCell">
    <xdr:from>
      <xdr:col>76</xdr:col>
      <xdr:colOff>17318</xdr:colOff>
      <xdr:row>29</xdr:row>
      <xdr:rowOff>138546</xdr:rowOff>
    </xdr:from>
    <xdr:to>
      <xdr:col>106</xdr:col>
      <xdr:colOff>44179</xdr:colOff>
      <xdr:row>52</xdr:row>
      <xdr:rowOff>147522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5C245F0-93D1-40C5-9822-EAC77E0CD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219468" y="5834496"/>
          <a:ext cx="6599111" cy="4390476"/>
        </a:xfrm>
        <a:prstGeom prst="rect">
          <a:avLst/>
        </a:prstGeom>
      </xdr:spPr>
    </xdr:pic>
    <xdr:clientData/>
  </xdr:twoCellAnchor>
  <xdr:twoCellAnchor editAs="oneCell">
    <xdr:from>
      <xdr:col>26</xdr:col>
      <xdr:colOff>207817</xdr:colOff>
      <xdr:row>45</xdr:row>
      <xdr:rowOff>173182</xdr:rowOff>
    </xdr:from>
    <xdr:to>
      <xdr:col>58</xdr:col>
      <xdr:colOff>94356</xdr:colOff>
      <xdr:row>59</xdr:row>
      <xdr:rowOff>58563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213FEAB-F9A6-477E-BD1B-DAD829FC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99067" y="8917132"/>
          <a:ext cx="6954089" cy="2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&#54788;&#51109;&#48324;&#44228;&#49328;&#49436;/&#51649;&#51217;&#44592;&#52488;_&#52824;&#54872;&#44277;&#48277;_&#48372;&#44053;&#51116;_&#46021;&#47549;&#44592;&#52488;1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ky\Documents\&#52840;&#54616;&#47049;%20&#44172;&#49328;.xlsm" TargetMode="External"/><Relationship Id="rId1" Type="http://schemas.openxmlformats.org/officeDocument/2006/relationships/externalLinkPath" Target="/Users/lucky/Documents/&#52840;&#54616;&#47049;%20&#44172;&#4932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현황"/>
      <sheetName val="지지력"/>
      <sheetName val="침하량"/>
    </sheetNames>
    <sheetDataSet>
      <sheetData sheetId="0">
        <row r="9">
          <cell r="D9">
            <v>5</v>
          </cell>
        </row>
        <row r="33">
          <cell r="D33">
            <v>0.5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"/>
      <sheetName val="Sheet2"/>
      <sheetName val="Sheet3"/>
      <sheetName val="121"/>
      <sheetName val="122"/>
      <sheetName val="123"/>
      <sheetName val="141"/>
      <sheetName val="142"/>
      <sheetName val="143"/>
      <sheetName val="161"/>
      <sheetName val="162"/>
      <sheetName val="163"/>
      <sheetName val="181"/>
      <sheetName val="Sheet1"/>
      <sheetName val="182"/>
      <sheetName val="183"/>
      <sheetName val="221"/>
      <sheetName val="222"/>
      <sheetName val="223"/>
      <sheetName val="241"/>
      <sheetName val="242"/>
      <sheetName val="243"/>
      <sheetName val="261"/>
      <sheetName val="262"/>
      <sheetName val="263"/>
      <sheetName val="281"/>
      <sheetName val="282"/>
      <sheetName val="283"/>
      <sheetName val="321"/>
      <sheetName val="322"/>
      <sheetName val="323"/>
      <sheetName val="341"/>
      <sheetName val="342"/>
      <sheetName val="343"/>
      <sheetName val="361"/>
      <sheetName val="362"/>
      <sheetName val="363"/>
      <sheetName val="381"/>
      <sheetName val="382"/>
      <sheetName val="383"/>
      <sheetName val="침하량 게산"/>
    </sheetNames>
    <sheetDataSet>
      <sheetData sheetId="0"/>
      <sheetData sheetId="1"/>
      <sheetData sheetId="2"/>
      <sheetData sheetId="3">
        <row r="4">
          <cell r="E4">
            <v>1</v>
          </cell>
        </row>
      </sheetData>
      <sheetData sheetId="4">
        <row r="24">
          <cell r="AD24" t="str">
            <v>square or circle</v>
          </cell>
        </row>
        <row r="32">
          <cell r="AD32" t="str">
            <v>m≥10</v>
          </cell>
        </row>
        <row r="33">
          <cell r="AE33">
            <v>1</v>
          </cell>
          <cell r="AF33">
            <v>0.2</v>
          </cell>
        </row>
        <row r="34">
          <cell r="AE34">
            <v>3</v>
          </cell>
          <cell r="AF34">
            <v>0.5</v>
          </cell>
        </row>
        <row r="35">
          <cell r="AE35">
            <v>9</v>
          </cell>
          <cell r="AF35">
            <v>0</v>
          </cell>
        </row>
        <row r="38">
          <cell r="AD38" t="str">
            <v>B=2m,Df=1m</v>
          </cell>
          <cell r="AF38">
            <v>0</v>
          </cell>
          <cell r="AG38">
            <v>1</v>
          </cell>
        </row>
        <row r="39">
          <cell r="AF39">
            <v>0.5</v>
          </cell>
          <cell r="AG39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FE03-D837-43E3-A7FA-7040D33B742B}">
  <sheetPr>
    <tabColor rgb="FFFFFF00"/>
  </sheetPr>
  <dimension ref="A1:H29"/>
  <sheetViews>
    <sheetView view="pageBreakPreview" zoomScaleNormal="100" zoomScaleSheetLayoutView="100" workbookViewId="0">
      <selection activeCell="C14" sqref="C14"/>
    </sheetView>
  </sheetViews>
  <sheetFormatPr defaultRowHeight="16.5"/>
  <cols>
    <col min="1" max="1" width="14.25" customWidth="1"/>
    <col min="2" max="2" width="9.625" customWidth="1"/>
    <col min="3" max="3" width="9.5" bestFit="1" customWidth="1"/>
    <col min="4" max="4" width="9" customWidth="1"/>
    <col min="5" max="5" width="16.5" customWidth="1"/>
    <col min="6" max="6" width="7.875" customWidth="1"/>
    <col min="7" max="8" width="6.25" customWidth="1"/>
  </cols>
  <sheetData>
    <row r="1" spans="1:7" ht="24.75" customHeight="1">
      <c r="A1" s="410" t="s">
        <v>418</v>
      </c>
      <c r="B1" s="411"/>
      <c r="C1" s="411"/>
      <c r="D1" s="411"/>
      <c r="E1" s="411"/>
      <c r="F1" s="411"/>
      <c r="G1" s="411"/>
    </row>
    <row r="2" spans="1:7" ht="24.75" customHeight="1">
      <c r="E2" s="412"/>
      <c r="F2" s="412"/>
    </row>
    <row r="3" spans="1:7" ht="24.75" customHeight="1">
      <c r="A3" s="413" t="s">
        <v>419</v>
      </c>
      <c r="B3" s="414" t="s">
        <v>420</v>
      </c>
      <c r="E3" s="412"/>
      <c r="F3" s="412"/>
    </row>
    <row r="4" spans="1:7" ht="24.75" customHeight="1">
      <c r="A4" s="415" t="s">
        <v>421</v>
      </c>
      <c r="B4" s="506" t="s">
        <v>882</v>
      </c>
    </row>
    <row r="5" spans="1:7" ht="24.75" customHeight="1">
      <c r="A5" s="415" t="s">
        <v>422</v>
      </c>
      <c r="B5" s="599">
        <f ca="1">TODAY()</f>
        <v>45870</v>
      </c>
    </row>
    <row r="6" spans="1:7" ht="24.75" customHeight="1">
      <c r="A6" s="789" t="s">
        <v>423</v>
      </c>
      <c r="B6" t="s">
        <v>428</v>
      </c>
      <c r="C6" s="506" t="s">
        <v>512</v>
      </c>
      <c r="D6" s="776">
        <v>150</v>
      </c>
    </row>
    <row r="7" spans="1:7" ht="24.75" customHeight="1">
      <c r="A7" s="790"/>
      <c r="C7" s="506"/>
      <c r="D7" s="776"/>
      <c r="E7" s="491"/>
      <c r="F7" s="491"/>
    </row>
    <row r="8" spans="1:7" ht="24.75" customHeight="1">
      <c r="A8" s="790"/>
      <c r="B8" t="s">
        <v>423</v>
      </c>
      <c r="C8" s="506" t="s">
        <v>529</v>
      </c>
      <c r="D8" s="507" t="s">
        <v>883</v>
      </c>
      <c r="E8" s="491"/>
      <c r="F8" s="491"/>
    </row>
    <row r="9" spans="1:7" ht="24.75" customHeight="1">
      <c r="A9" s="790"/>
      <c r="B9" s="506"/>
      <c r="C9" s="507"/>
      <c r="D9" s="123"/>
      <c r="E9" s="491"/>
      <c r="F9" s="491"/>
    </row>
    <row r="10" spans="1:7" ht="24.75" customHeight="1">
      <c r="A10" s="790"/>
      <c r="B10" s="506"/>
      <c r="C10" s="507"/>
      <c r="D10" s="123"/>
      <c r="E10" s="491"/>
      <c r="F10" s="491"/>
    </row>
    <row r="11" spans="1:7" ht="24.75" customHeight="1">
      <c r="A11" s="791"/>
      <c r="B11" s="506"/>
      <c r="C11" s="507"/>
      <c r="D11" s="123"/>
      <c r="E11" s="491"/>
      <c r="F11" s="491"/>
    </row>
    <row r="12" spans="1:7" ht="24.75" customHeight="1">
      <c r="A12" s="416"/>
      <c r="C12" s="417"/>
    </row>
    <row r="13" spans="1:7" ht="24.75" customHeight="1">
      <c r="A13" s="415" t="s">
        <v>424</v>
      </c>
      <c r="B13" s="506" t="s">
        <v>425</v>
      </c>
      <c r="C13" s="532" t="s">
        <v>890</v>
      </c>
      <c r="D13" s="532" t="s">
        <v>891</v>
      </c>
      <c r="E13" s="792" t="str">
        <f>+E20</f>
        <v>실트질 모래</v>
      </c>
      <c r="F13" s="792"/>
      <c r="G13" s="792"/>
    </row>
    <row r="14" spans="1:7" ht="24.75" customHeight="1">
      <c r="A14" s="415" t="s">
        <v>426</v>
      </c>
      <c r="C14" s="506" t="s">
        <v>884</v>
      </c>
    </row>
    <row r="15" spans="1:7" ht="24.75" customHeight="1">
      <c r="A15" s="493"/>
      <c r="B15" s="494"/>
    </row>
    <row r="16" spans="1:7" ht="24.75" customHeight="1">
      <c r="A16" s="492" t="s">
        <v>427</v>
      </c>
      <c r="B16" s="508">
        <f>+지상1층!T92</f>
        <v>500</v>
      </c>
      <c r="C16" s="509">
        <f>+지상1층!X92</f>
        <v>1</v>
      </c>
    </row>
    <row r="17" spans="1:8" ht="24.75" customHeight="1">
      <c r="A17" s="415" t="s">
        <v>428</v>
      </c>
      <c r="B17" s="507">
        <f>+D6</f>
        <v>150</v>
      </c>
    </row>
    <row r="18" spans="1:8" ht="24.75" customHeight="1"/>
    <row r="19" spans="1:8" ht="24.75" customHeight="1">
      <c r="A19" s="530" t="s">
        <v>48</v>
      </c>
      <c r="B19" s="787" t="s">
        <v>49</v>
      </c>
      <c r="C19" s="787"/>
      <c r="D19" s="530" t="s">
        <v>51</v>
      </c>
      <c r="E19" s="531" t="s">
        <v>56</v>
      </c>
      <c r="F19" s="531" t="s">
        <v>538</v>
      </c>
      <c r="G19" s="788" t="s">
        <v>521</v>
      </c>
      <c r="H19" s="788"/>
    </row>
    <row r="20" spans="1:8">
      <c r="A20" s="535" t="s">
        <v>406</v>
      </c>
      <c r="B20" s="779">
        <v>0</v>
      </c>
      <c r="C20" s="575">
        <v>3.5</v>
      </c>
      <c r="D20" s="535">
        <v>18</v>
      </c>
      <c r="E20" s="545" t="s">
        <v>889</v>
      </c>
      <c r="F20" s="576" t="s">
        <v>888</v>
      </c>
      <c r="G20" s="780">
        <v>4</v>
      </c>
      <c r="H20" s="780">
        <v>8</v>
      </c>
    </row>
    <row r="21" spans="1:8">
      <c r="A21" s="535" t="s">
        <v>407</v>
      </c>
      <c r="B21" s="536">
        <f>+C20</f>
        <v>3.5</v>
      </c>
      <c r="C21" s="575">
        <v>6.7</v>
      </c>
      <c r="D21" s="535">
        <v>18</v>
      </c>
      <c r="E21" s="545" t="s">
        <v>889</v>
      </c>
      <c r="F21" s="576" t="s">
        <v>888</v>
      </c>
      <c r="G21" s="781">
        <v>4</v>
      </c>
      <c r="H21" s="546">
        <v>11</v>
      </c>
    </row>
    <row r="22" spans="1:8">
      <c r="A22" s="535" t="s">
        <v>74</v>
      </c>
      <c r="B22" s="536">
        <f>+C21</f>
        <v>6.7</v>
      </c>
      <c r="C22" s="575">
        <v>15</v>
      </c>
      <c r="D22" s="535">
        <v>20</v>
      </c>
      <c r="E22" s="545"/>
      <c r="F22" s="576" t="s">
        <v>615</v>
      </c>
      <c r="G22" s="782" t="s">
        <v>886</v>
      </c>
      <c r="H22" s="546" t="s">
        <v>887</v>
      </c>
    </row>
    <row r="23" spans="1:8">
      <c r="A23" s="535"/>
      <c r="B23" s="536"/>
      <c r="C23" s="575"/>
      <c r="D23" s="535"/>
      <c r="E23" s="545"/>
      <c r="F23" s="576"/>
      <c r="G23" s="782"/>
      <c r="H23" s="546"/>
    </row>
    <row r="24" spans="1:8">
      <c r="A24" s="535"/>
      <c r="B24" s="536"/>
      <c r="C24" s="575"/>
      <c r="D24" s="535"/>
      <c r="E24" s="545"/>
      <c r="F24" s="576"/>
      <c r="G24" s="547"/>
      <c r="H24" s="546"/>
    </row>
    <row r="25" spans="1:8">
      <c r="A25" s="534" t="s">
        <v>530</v>
      </c>
      <c r="B25" s="777">
        <v>2.72</v>
      </c>
      <c r="C25" s="534" t="s">
        <v>531</v>
      </c>
      <c r="D25" s="778" t="s">
        <v>384</v>
      </c>
      <c r="E25" s="533"/>
      <c r="F25" s="568"/>
      <c r="G25" s="533"/>
      <c r="H25" s="533"/>
    </row>
    <row r="27" spans="1:8">
      <c r="A27" s="772" t="s">
        <v>870</v>
      </c>
    </row>
    <row r="28" spans="1:8">
      <c r="A28" s="771" t="s">
        <v>871</v>
      </c>
    </row>
    <row r="29" spans="1:8">
      <c r="A29" s="771" t="s">
        <v>872</v>
      </c>
    </row>
  </sheetData>
  <mergeCells count="4">
    <mergeCell ref="B19:C19"/>
    <mergeCell ref="G19:H19"/>
    <mergeCell ref="A6:A11"/>
    <mergeCell ref="E13:G1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A60-F710-4074-8646-35A04196A41F}">
  <sheetPr>
    <tabColor rgb="FFFF0000"/>
  </sheetPr>
  <dimension ref="A4:H26"/>
  <sheetViews>
    <sheetView view="pageBreakPreview" zoomScaleNormal="100" zoomScaleSheetLayoutView="100" workbookViewId="0">
      <selection activeCell="AF32" sqref="AF32"/>
    </sheetView>
  </sheetViews>
  <sheetFormatPr defaultColWidth="9" defaultRowHeight="13.5"/>
  <cols>
    <col min="1" max="1" width="6.375" style="85" customWidth="1"/>
    <col min="2" max="7" width="12.375" style="85" customWidth="1"/>
    <col min="8" max="8" width="6.875" style="85" customWidth="1"/>
    <col min="9" max="16384" width="9" style="85"/>
  </cols>
  <sheetData>
    <row r="4" spans="1:8" ht="26.25" thickBot="1">
      <c r="A4" s="418"/>
      <c r="B4" s="419"/>
      <c r="C4" s="419"/>
      <c r="D4" s="419"/>
      <c r="E4" s="419"/>
      <c r="F4" s="419"/>
      <c r="G4" s="419"/>
      <c r="H4" s="418"/>
    </row>
    <row r="5" spans="1:8" ht="32.25">
      <c r="B5" s="420" t="str">
        <f>입력!B3</f>
        <v>페 블 테 크</v>
      </c>
      <c r="C5" s="421"/>
      <c r="D5" s="421"/>
      <c r="E5" s="421"/>
      <c r="F5" s="421"/>
      <c r="G5" s="421"/>
    </row>
    <row r="6" spans="1:8" ht="33" thickBot="1">
      <c r="B6" s="422" t="s">
        <v>429</v>
      </c>
      <c r="C6" s="423"/>
      <c r="D6" s="423"/>
      <c r="E6" s="423"/>
      <c r="F6" s="423"/>
      <c r="G6" s="423"/>
    </row>
    <row r="8" spans="1:8" ht="18.75">
      <c r="B8" s="424" t="str">
        <f>입력!B4</f>
        <v>전북 전주시 완산구 상림동 596 다세대주택 신축공사</v>
      </c>
      <c r="C8" s="424"/>
      <c r="D8" s="424"/>
      <c r="E8" s="424"/>
      <c r="F8" s="424"/>
      <c r="G8" s="424"/>
    </row>
    <row r="26" spans="2:7" ht="20.25">
      <c r="B26" s="425" t="str">
        <f ca="1">TEXT(입력!B5, "YYYY-MM")</f>
        <v>2025-08</v>
      </c>
      <c r="C26" s="424"/>
      <c r="D26" s="424"/>
      <c r="E26" s="424"/>
      <c r="F26" s="424"/>
      <c r="G26" s="424"/>
    </row>
  </sheetData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&amp;C&amp;K01+044본문서는 (주)지반디자인앤솔루션의 고유한 자산입니다.&amp;R&amp;"-,굵게"&amp;9&amp;K01+038(주)지반디자인앤솔루션 
기업부설 연구소</oddHeader>
    <oddFooter>&amp;L&amp;"-,굵게"&amp;9&amp;K01+045 * 본 검토서 및 계산서는 (사)대한토목학회( &amp;G )의 연구를 통해 검증된 페블테크의 물성 및 계산식에 따라 산출 되었습니다.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310E-38AC-4E13-8FCC-E8FA649C2B89}">
  <sheetPr>
    <tabColor rgb="FFFFFF00"/>
  </sheetPr>
  <dimension ref="A1:AC25"/>
  <sheetViews>
    <sheetView view="pageBreakPreview" zoomScaleNormal="100" zoomScaleSheetLayoutView="100" workbookViewId="0">
      <selection activeCell="AF32" sqref="AF32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30" customHeight="1">
      <c r="A1" s="806"/>
      <c r="B1" s="806"/>
      <c r="C1" s="806"/>
      <c r="D1" s="806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</row>
    <row r="2" spans="1:29" ht="20.2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808">
        <f ca="1">입력!B5</f>
        <v>45870</v>
      </c>
      <c r="W2" s="808"/>
      <c r="X2" s="808"/>
      <c r="Y2" s="808"/>
      <c r="Z2" s="808"/>
      <c r="AA2" s="808"/>
      <c r="AB2" s="808"/>
      <c r="AC2" s="808"/>
    </row>
    <row r="3" spans="1:29" ht="21" customHeight="1">
      <c r="A3" s="404" t="s">
        <v>430</v>
      </c>
      <c r="B3" s="404" t="s">
        <v>431</v>
      </c>
      <c r="C3" s="426"/>
      <c r="D3" s="426"/>
      <c r="E3" s="427"/>
      <c r="F3" s="428" t="str">
        <f>입력!B4</f>
        <v>전북 전주시 완산구 상림동 596 다세대주택 신축공사</v>
      </c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</row>
    <row r="4" spans="1:29" ht="21" customHeight="1">
      <c r="A4" s="404" t="s">
        <v>430</v>
      </c>
      <c r="B4" s="404" t="s">
        <v>432</v>
      </c>
      <c r="C4" s="426"/>
      <c r="D4" s="426"/>
      <c r="E4" s="427"/>
      <c r="F4" s="429" t="s">
        <v>433</v>
      </c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</row>
    <row r="5" spans="1:29" ht="21" customHeight="1">
      <c r="A5" s="404" t="s">
        <v>434</v>
      </c>
      <c r="B5" s="404" t="s">
        <v>435</v>
      </c>
      <c r="C5" s="426"/>
      <c r="D5" s="426"/>
      <c r="E5" s="427"/>
      <c r="F5" s="429" t="s">
        <v>436</v>
      </c>
      <c r="G5" s="427"/>
      <c r="H5" s="427"/>
      <c r="I5" s="427"/>
      <c r="J5" s="427"/>
      <c r="K5" s="427"/>
      <c r="L5" s="427"/>
      <c r="M5" s="2"/>
      <c r="N5" s="2"/>
      <c r="O5" s="2"/>
      <c r="P5" s="430"/>
      <c r="Q5" s="2"/>
      <c r="R5" s="2"/>
      <c r="S5" s="2"/>
      <c r="T5" s="2"/>
      <c r="U5" s="2"/>
      <c r="V5" s="2"/>
      <c r="W5" s="431"/>
      <c r="X5" s="77"/>
      <c r="Y5" s="77"/>
      <c r="Z5" s="2"/>
      <c r="AA5" s="2"/>
      <c r="AB5" s="2"/>
      <c r="AC5" s="2"/>
    </row>
    <row r="6" spans="1:29" ht="9" customHeight="1">
      <c r="C6" s="430"/>
      <c r="D6" s="2"/>
      <c r="E6" s="2"/>
      <c r="F6" s="2"/>
      <c r="G6" s="2"/>
      <c r="H6" s="2"/>
      <c r="I6" s="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  <c r="AA6" s="432"/>
      <c r="AB6" s="432"/>
      <c r="AC6" s="432"/>
    </row>
    <row r="7" spans="1:29" ht="16.5" customHeight="1">
      <c r="B7" s="3" t="s">
        <v>437</v>
      </c>
      <c r="C7" s="430"/>
      <c r="D7" s="430"/>
      <c r="E7" s="430"/>
      <c r="F7" s="430"/>
      <c r="G7" s="430"/>
      <c r="H7" s="430"/>
      <c r="I7" s="430"/>
      <c r="J7" s="430"/>
      <c r="K7" s="2"/>
      <c r="L7" s="430"/>
      <c r="M7" s="430"/>
      <c r="N7" s="430"/>
      <c r="O7" s="430"/>
      <c r="P7" s="430"/>
      <c r="R7" s="2"/>
      <c r="S7" s="2"/>
      <c r="T7" s="2"/>
      <c r="U7" s="2"/>
      <c r="V7" s="2"/>
      <c r="W7" s="2"/>
      <c r="X7" s="2"/>
      <c r="Y7" s="77"/>
      <c r="Z7" s="2"/>
      <c r="AA7" s="2"/>
      <c r="AB7" s="433"/>
      <c r="AC7" s="433"/>
    </row>
    <row r="8" spans="1:29" ht="10.5" customHeight="1">
      <c r="C8" s="430"/>
      <c r="D8" s="430"/>
      <c r="E8" s="430"/>
      <c r="F8" s="430"/>
      <c r="G8" s="430"/>
      <c r="H8" s="430"/>
      <c r="I8" s="430"/>
      <c r="J8" s="430"/>
      <c r="K8" s="2"/>
      <c r="L8" s="430"/>
      <c r="M8" s="430"/>
      <c r="N8" s="430"/>
      <c r="O8" s="430"/>
      <c r="P8" s="430"/>
      <c r="R8" s="2"/>
      <c r="S8" s="2"/>
      <c r="T8" s="2"/>
      <c r="U8" s="2"/>
      <c r="V8" s="2"/>
      <c r="W8" s="2"/>
      <c r="X8" s="2"/>
      <c r="Y8" s="77"/>
      <c r="Z8" s="2"/>
      <c r="AA8" s="2"/>
      <c r="AB8" s="433"/>
      <c r="AC8" s="433"/>
    </row>
    <row r="9" spans="1:29" ht="21.95" customHeight="1">
      <c r="B9" s="809" t="s">
        <v>438</v>
      </c>
      <c r="C9" s="810"/>
      <c r="D9" s="810"/>
      <c r="E9" s="810"/>
      <c r="F9" s="810"/>
      <c r="G9" s="811" t="str">
        <f>"- "&amp;입력!C6&amp;" "&amp;입력!D6&amp;" kN/㎡ "</f>
        <v xml:space="preserve">- 지상 150 kN/㎡ </v>
      </c>
      <c r="H9" s="811"/>
      <c r="I9" s="811"/>
      <c r="J9" s="811"/>
      <c r="K9" s="811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  <c r="AA9" s="811"/>
      <c r="AB9" s="812"/>
    </row>
    <row r="10" spans="1:29" ht="21.95" customHeight="1">
      <c r="B10" s="813" t="s">
        <v>439</v>
      </c>
      <c r="C10" s="814"/>
      <c r="D10" s="814"/>
      <c r="E10" s="814"/>
      <c r="F10" s="814"/>
      <c r="G10" s="815" t="str">
        <f>"- "&amp;입력!B13&amp;" "&amp;입력!C13&amp;"~"&amp;" "&amp;입력!D13&amp;"의 "&amp;입력!E13&amp;""</f>
        <v>- N값 4/30~ 8/30의 실트질 모래</v>
      </c>
      <c r="H10" s="815"/>
      <c r="I10" s="815"/>
      <c r="J10" s="815"/>
      <c r="K10" s="815"/>
      <c r="L10" s="815"/>
      <c r="M10" s="815"/>
      <c r="N10" s="815"/>
      <c r="O10" s="815"/>
      <c r="P10" s="815"/>
      <c r="Q10" s="815"/>
      <c r="R10" s="815"/>
      <c r="S10" s="815"/>
      <c r="T10" s="815"/>
      <c r="U10" s="815"/>
      <c r="V10" s="815"/>
      <c r="W10" s="815"/>
      <c r="X10" s="815"/>
      <c r="Y10" s="815"/>
      <c r="Z10" s="815"/>
      <c r="AA10" s="815"/>
      <c r="AB10" s="816"/>
    </row>
    <row r="11" spans="1:29" ht="21.95" customHeight="1">
      <c r="B11" s="797" t="s">
        <v>440</v>
      </c>
      <c r="C11" s="798"/>
      <c r="D11" s="798"/>
      <c r="E11" s="798"/>
      <c r="F11" s="798"/>
      <c r="G11" s="799" t="str">
        <f>"- "&amp;입력!C14</f>
        <v>- 지상4층</v>
      </c>
      <c r="H11" s="799"/>
      <c r="I11" s="799"/>
      <c r="J11" s="799"/>
      <c r="K11" s="799"/>
      <c r="L11" s="799"/>
      <c r="M11" s="799"/>
      <c r="N11" s="799"/>
      <c r="O11" s="799"/>
      <c r="P11" s="799"/>
      <c r="Q11" s="799"/>
      <c r="R11" s="799"/>
      <c r="S11" s="799"/>
      <c r="T11" s="799"/>
      <c r="U11" s="799"/>
      <c r="V11" s="799"/>
      <c r="W11" s="799"/>
      <c r="X11" s="799"/>
      <c r="Y11" s="799"/>
      <c r="Z11" s="799"/>
      <c r="AA11" s="799"/>
      <c r="AB11" s="800"/>
    </row>
    <row r="12" spans="1:29" ht="8.25" customHeight="1"/>
    <row r="13" spans="1:29" ht="18.75" customHeight="1">
      <c r="A13" s="434" t="s">
        <v>441</v>
      </c>
      <c r="B13" s="428" t="s">
        <v>442</v>
      </c>
      <c r="C13" s="428"/>
      <c r="D13" s="428"/>
    </row>
    <row r="14" spans="1:29" ht="24" customHeight="1">
      <c r="B14" s="801" t="s">
        <v>443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 t="s">
        <v>444</v>
      </c>
      <c r="Q14" s="802"/>
      <c r="R14" s="802"/>
      <c r="S14" s="802"/>
      <c r="T14" s="802"/>
      <c r="U14" s="802"/>
      <c r="V14" s="802"/>
      <c r="W14" s="802"/>
      <c r="X14" s="802"/>
      <c r="Y14" s="802"/>
      <c r="Z14" s="802"/>
      <c r="AA14" s="802"/>
      <c r="AB14" s="803"/>
    </row>
    <row r="15" spans="1:29" ht="163.5" customHeight="1">
      <c r="B15" s="794"/>
      <c r="C15" s="795"/>
      <c r="D15" s="795"/>
      <c r="E15" s="795"/>
      <c r="F15" s="795"/>
      <c r="G15" s="795"/>
      <c r="H15" s="795"/>
      <c r="I15" s="795"/>
      <c r="J15" s="795"/>
      <c r="K15" s="795"/>
      <c r="L15" s="795"/>
      <c r="M15" s="795"/>
      <c r="N15" s="795"/>
      <c r="O15" s="795"/>
      <c r="P15" s="804"/>
      <c r="Q15" s="804"/>
      <c r="R15" s="804"/>
      <c r="S15" s="804"/>
      <c r="T15" s="804"/>
      <c r="U15" s="804"/>
      <c r="V15" s="804"/>
      <c r="W15" s="804"/>
      <c r="X15" s="804"/>
      <c r="Y15" s="804"/>
      <c r="Z15" s="804"/>
      <c r="AA15" s="804"/>
      <c r="AB15" s="805"/>
    </row>
    <row r="16" spans="1:29" ht="9" customHeight="1"/>
    <row r="17" spans="1:29" ht="18.75" customHeight="1">
      <c r="A17" s="434" t="s">
        <v>445</v>
      </c>
      <c r="B17" s="428" t="s">
        <v>446</v>
      </c>
      <c r="C17" s="428"/>
      <c r="D17" s="428"/>
    </row>
    <row r="18" spans="1:29" ht="24" customHeight="1">
      <c r="B18" s="793" t="s">
        <v>812</v>
      </c>
      <c r="C18" s="793"/>
      <c r="D18" s="793"/>
      <c r="E18" s="793"/>
      <c r="F18" s="793"/>
      <c r="G18" s="793"/>
      <c r="H18" s="793"/>
      <c r="I18" s="793"/>
      <c r="J18" s="793"/>
      <c r="K18" s="793"/>
      <c r="L18" s="793"/>
      <c r="M18" s="793"/>
      <c r="N18" s="793"/>
      <c r="O18" s="793"/>
      <c r="P18" s="793"/>
      <c r="Q18" s="793"/>
      <c r="R18" s="793"/>
      <c r="S18" s="793"/>
      <c r="T18" s="793"/>
      <c r="U18" s="793"/>
      <c r="V18" s="793"/>
      <c r="W18" s="793"/>
      <c r="X18" s="793"/>
      <c r="Y18" s="793"/>
      <c r="Z18" s="793"/>
      <c r="AA18" s="793"/>
      <c r="AB18" s="793"/>
    </row>
    <row r="19" spans="1:29" ht="163.5" customHeight="1">
      <c r="B19" s="794"/>
      <c r="C19" s="795"/>
      <c r="D19" s="795"/>
      <c r="E19" s="795"/>
      <c r="F19" s="795"/>
      <c r="G19" s="795"/>
      <c r="H19" s="795"/>
      <c r="I19" s="795"/>
      <c r="J19" s="795"/>
      <c r="K19" s="795"/>
      <c r="L19" s="795"/>
      <c r="M19" s="795"/>
      <c r="N19" s="795"/>
      <c r="O19" s="795"/>
      <c r="P19" s="795"/>
      <c r="Q19" s="795"/>
      <c r="R19" s="795"/>
      <c r="S19" s="795"/>
      <c r="T19" s="795"/>
      <c r="U19" s="795"/>
      <c r="V19" s="795"/>
      <c r="W19" s="795"/>
      <c r="X19" s="795"/>
      <c r="Y19" s="795"/>
      <c r="Z19" s="795"/>
      <c r="AA19" s="795"/>
      <c r="AB19" s="796"/>
    </row>
    <row r="20" spans="1:29" ht="15.75" customHeight="1">
      <c r="A20" s="3" t="str">
        <f xml:space="preserve"> " - 페블테크 치환 T= " &amp; 입력!B16 &amp; " mm + 매트"&amp;입력!C16&amp;"겹 " &amp; "적용시 설계하중 " &amp; 입력!B17 &amp; " kN/㎡에 대하여 기초안정성 확보"</f>
        <v xml:space="preserve"> - 페블테크 치환 T= 500 mm + 매트1겹 적용시 설계하중 150 kN/㎡에 대하여 기초안정성 확보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</row>
    <row r="21" spans="1:29" ht="15.75" customHeight="1">
      <c r="A21" s="3" t="s">
        <v>813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</row>
    <row r="22" spans="1:29" ht="15.75" customHeight="1">
      <c r="A22" s="3" t="s">
        <v>447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</row>
    <row r="23" spans="1:29" ht="15.75" customHeight="1">
      <c r="A23" s="3" t="s">
        <v>448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</row>
    <row r="24" spans="1:29" ht="15.75" customHeight="1">
      <c r="A24" s="3" t="s">
        <v>869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</row>
    <row r="25" spans="1:29" ht="15" customHeight="1">
      <c r="A25" s="172" t="e">
        <f xml:space="preserve"> " - 페블테크 치환 T= " &amp; 입력!#REF! &amp; " mm + PET MAT " &amp; 입력!B21 &amp; "단 적용시 설계하중 " &amp; 입력!#REF! &amp; " kN/㎡에 대하여 기초안정성 확보"</f>
        <v>#REF!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</row>
  </sheetData>
  <mergeCells count="15">
    <mergeCell ref="A1:AC1"/>
    <mergeCell ref="V2:AC2"/>
    <mergeCell ref="B9:F9"/>
    <mergeCell ref="G9:AB9"/>
    <mergeCell ref="B10:F10"/>
    <mergeCell ref="G10:AB10"/>
    <mergeCell ref="B18:AB18"/>
    <mergeCell ref="B19:O19"/>
    <mergeCell ref="P19:AB19"/>
    <mergeCell ref="B11:F11"/>
    <mergeCell ref="G11:AB11"/>
    <mergeCell ref="B14:O14"/>
    <mergeCell ref="P14:AB14"/>
    <mergeCell ref="B15:O15"/>
    <mergeCell ref="P15:AB15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>&amp;C&amp;K01+043본문서는 (주)지반디자인앤솔루션의 고유한 자산입니다.&amp;R&amp;"-,굵게"&amp;9&amp;K01+037(주)지반디자인앤솔루션 
기업부설 연구소</oddHeader>
    <oddFooter>&amp;L&amp;"-,굵게"&amp;9&amp;K01+045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DBBD-FF09-4BBE-AAE3-DBD7AABF292B}">
  <sheetPr>
    <tabColor rgb="FF00B0F0"/>
  </sheetPr>
  <dimension ref="A4:H26"/>
  <sheetViews>
    <sheetView view="pageBreakPreview" zoomScaleNormal="100" zoomScaleSheetLayoutView="100" workbookViewId="0">
      <selection activeCell="M11" sqref="M11"/>
    </sheetView>
  </sheetViews>
  <sheetFormatPr defaultColWidth="9" defaultRowHeight="13.5"/>
  <cols>
    <col min="1" max="1" width="6.375" style="85" customWidth="1"/>
    <col min="2" max="7" width="12.375" style="85" customWidth="1"/>
    <col min="8" max="8" width="6.875" style="85" customWidth="1"/>
    <col min="9" max="16384" width="9" style="85"/>
  </cols>
  <sheetData>
    <row r="4" spans="1:8" ht="26.25" thickBot="1">
      <c r="A4" s="418"/>
      <c r="B4" s="419"/>
      <c r="C4" s="419"/>
      <c r="D4" s="419"/>
      <c r="E4" s="419"/>
      <c r="F4" s="419"/>
      <c r="G4" s="419"/>
      <c r="H4" s="418"/>
    </row>
    <row r="5" spans="1:8" ht="32.25">
      <c r="B5" s="420" t="str">
        <f>입력!B3</f>
        <v>페 블 테 크</v>
      </c>
      <c r="C5" s="421"/>
      <c r="D5" s="421"/>
      <c r="E5" s="421"/>
      <c r="F5" s="421"/>
      <c r="G5" s="421"/>
    </row>
    <row r="6" spans="1:8" ht="33" thickBot="1">
      <c r="B6" s="422" t="s">
        <v>429</v>
      </c>
      <c r="C6" s="423"/>
      <c r="D6" s="423"/>
      <c r="E6" s="423"/>
      <c r="F6" s="423"/>
      <c r="G6" s="423"/>
    </row>
    <row r="8" spans="1:8" ht="18.75">
      <c r="B8" s="424" t="str">
        <f>입력!B4</f>
        <v>전북 전주시 완산구 상림동 596 다세대주택 신축공사</v>
      </c>
      <c r="C8" s="424"/>
      <c r="D8" s="424"/>
      <c r="E8" s="424"/>
      <c r="F8" s="424"/>
      <c r="G8" s="424"/>
    </row>
    <row r="26" spans="2:7" ht="20.25">
      <c r="B26" s="425" t="str">
        <f ca="1">TEXT(입력!B5, "YYYY-MM")</f>
        <v>2025-08</v>
      </c>
      <c r="C26" s="424"/>
      <c r="D26" s="424"/>
      <c r="E26" s="424"/>
      <c r="F26" s="424"/>
      <c r="G26" s="424"/>
    </row>
  </sheetData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&amp;C&amp;K01+044본문서는 (주)지반디자인앤솔루션의 고유한 자산입니다.&amp;R&amp;"-,굵게"&amp;9&amp;K01+038(주)지반디자인앤솔루션 
기업부설 연구소</oddHeader>
    <oddFooter>&amp;L&amp;"-,굵게"&amp;9&amp;K01+046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DC5F-5E48-46AB-9D82-D9F035681251}">
  <sheetPr>
    <tabColor rgb="FF00B0F0"/>
  </sheetPr>
  <dimension ref="A3:I37"/>
  <sheetViews>
    <sheetView view="pageBreakPreview" zoomScaleNormal="100" zoomScaleSheetLayoutView="100" workbookViewId="0">
      <selection activeCell="M11" sqref="M11"/>
    </sheetView>
  </sheetViews>
  <sheetFormatPr defaultColWidth="9" defaultRowHeight="13.5"/>
  <cols>
    <col min="1" max="8" width="10.75" style="85" customWidth="1"/>
    <col min="9" max="16384" width="9" style="85"/>
  </cols>
  <sheetData>
    <row r="3" spans="1:8" ht="25.5">
      <c r="A3" s="436" t="s">
        <v>451</v>
      </c>
      <c r="B3" s="437"/>
      <c r="C3" s="437"/>
      <c r="D3" s="437"/>
      <c r="E3" s="437"/>
      <c r="F3" s="437"/>
      <c r="G3" s="437"/>
      <c r="H3" s="437"/>
    </row>
    <row r="6" spans="1:8" ht="16.5">
      <c r="B6" s="438"/>
      <c r="C6" s="438"/>
      <c r="D6" s="438"/>
      <c r="E6" s="438"/>
      <c r="F6" s="438"/>
      <c r="G6" s="438"/>
      <c r="H6" s="438"/>
    </row>
    <row r="7" spans="1:8" ht="19.5">
      <c r="A7" s="439" t="s">
        <v>452</v>
      </c>
      <c r="B7" s="438"/>
      <c r="C7" s="438"/>
      <c r="D7" s="438"/>
      <c r="E7" s="438"/>
      <c r="F7" s="438"/>
      <c r="G7" s="438"/>
      <c r="H7" s="438"/>
    </row>
    <row r="8" spans="1:8" ht="16.5">
      <c r="A8" s="438"/>
      <c r="B8" s="438"/>
      <c r="C8" s="438"/>
      <c r="D8" s="438"/>
      <c r="E8" s="438"/>
      <c r="F8" s="438"/>
      <c r="G8" s="438"/>
      <c r="H8" s="438"/>
    </row>
    <row r="9" spans="1:8" ht="16.5">
      <c r="A9" s="438"/>
      <c r="B9" s="438"/>
      <c r="C9" s="438"/>
      <c r="D9" s="438"/>
      <c r="E9" s="438"/>
      <c r="F9" s="438"/>
      <c r="G9" s="438"/>
      <c r="H9" s="438"/>
    </row>
    <row r="10" spans="1:8" ht="16.5">
      <c r="A10" s="438"/>
      <c r="B10" s="438"/>
      <c r="C10" s="438"/>
      <c r="D10" s="438"/>
      <c r="E10" s="438"/>
      <c r="F10" s="438"/>
      <c r="G10" s="438"/>
      <c r="H10" s="438"/>
    </row>
    <row r="11" spans="1:8" ht="16.5">
      <c r="A11" s="440"/>
      <c r="B11" s="438"/>
      <c r="C11" s="438"/>
      <c r="D11" s="438"/>
      <c r="E11" s="438"/>
      <c r="F11" s="438"/>
      <c r="G11" s="438"/>
      <c r="H11" s="438"/>
    </row>
    <row r="12" spans="1:8" ht="16.5">
      <c r="B12" s="438"/>
      <c r="C12" s="438"/>
      <c r="D12" s="438"/>
      <c r="E12" s="438"/>
      <c r="F12" s="438"/>
      <c r="G12" s="438"/>
      <c r="H12" s="438"/>
    </row>
    <row r="13" spans="1:8" ht="24" customHeight="1">
      <c r="A13" s="441" t="str">
        <f>입력!B4</f>
        <v>전북 전주시 완산구 상림동 596 다세대주택 신축공사</v>
      </c>
      <c r="B13" s="438"/>
      <c r="C13" s="438"/>
      <c r="D13" s="438"/>
      <c r="E13" s="438"/>
      <c r="F13" s="438"/>
      <c r="G13" s="438"/>
      <c r="H13" s="438"/>
    </row>
    <row r="14" spans="1:8" ht="24" customHeight="1">
      <c r="A14" s="442" t="s">
        <v>453</v>
      </c>
      <c r="B14" s="440"/>
      <c r="C14" s="438"/>
      <c r="D14" s="438"/>
      <c r="E14" s="438"/>
      <c r="F14" s="438"/>
      <c r="G14" s="438"/>
      <c r="H14" s="438"/>
    </row>
    <row r="15" spans="1:8" ht="16.5">
      <c r="A15" s="440"/>
      <c r="B15" s="438"/>
      <c r="C15" s="438"/>
      <c r="D15" s="438"/>
      <c r="E15" s="438"/>
      <c r="F15" s="438"/>
      <c r="G15" s="438"/>
      <c r="H15" s="438"/>
    </row>
    <row r="16" spans="1:8" ht="16.5">
      <c r="A16" s="438"/>
      <c r="B16" s="438"/>
      <c r="C16" s="438"/>
      <c r="D16" s="438"/>
      <c r="E16" s="438"/>
      <c r="F16" s="438"/>
      <c r="G16" s="438"/>
      <c r="H16" s="438"/>
    </row>
    <row r="17" spans="1:8" ht="16.5">
      <c r="A17" s="438"/>
      <c r="B17" s="438"/>
      <c r="C17" s="438"/>
      <c r="D17" s="438"/>
      <c r="E17" s="438"/>
      <c r="F17" s="438"/>
      <c r="G17" s="438"/>
      <c r="H17" s="438"/>
    </row>
    <row r="18" spans="1:8" ht="16.5">
      <c r="A18" s="438"/>
      <c r="B18" s="438"/>
      <c r="C18" s="438"/>
      <c r="D18" s="438"/>
      <c r="E18" s="438"/>
      <c r="F18" s="438"/>
      <c r="G18" s="438"/>
      <c r="H18" s="438"/>
    </row>
    <row r="19" spans="1:8" ht="16.5">
      <c r="A19" s="438"/>
      <c r="B19" s="438"/>
      <c r="C19" s="438"/>
      <c r="D19" s="438"/>
      <c r="E19" s="438"/>
      <c r="F19" s="438"/>
      <c r="G19" s="438"/>
      <c r="H19" s="438"/>
    </row>
    <row r="20" spans="1:8" ht="16.5">
      <c r="A20" s="438"/>
      <c r="B20" s="438"/>
      <c r="C20" s="438"/>
      <c r="D20" s="438"/>
      <c r="E20" s="438"/>
      <c r="F20" s="438"/>
      <c r="G20" s="438"/>
      <c r="H20" s="438"/>
    </row>
    <row r="21" spans="1:8" ht="16.5">
      <c r="A21" s="438"/>
      <c r="B21" s="438"/>
      <c r="C21" s="438"/>
      <c r="D21" s="438"/>
      <c r="E21" s="438"/>
      <c r="F21" s="438"/>
      <c r="G21" s="438"/>
      <c r="H21" s="438"/>
    </row>
    <row r="22" spans="1:8" ht="16.5">
      <c r="A22" s="438"/>
      <c r="B22" s="438"/>
      <c r="C22" s="438"/>
      <c r="D22" s="438"/>
      <c r="E22" s="438"/>
      <c r="F22" s="438"/>
      <c r="G22" s="438"/>
      <c r="H22" s="438"/>
    </row>
    <row r="23" spans="1:8" ht="16.5">
      <c r="A23" s="438"/>
      <c r="B23" s="438"/>
      <c r="C23" s="438"/>
      <c r="D23" s="438"/>
      <c r="E23" s="438"/>
      <c r="F23" s="438"/>
      <c r="G23" s="438"/>
      <c r="H23" s="438"/>
    </row>
    <row r="26" spans="1:8" ht="25.5" customHeight="1">
      <c r="A26" s="818" t="str">
        <f ca="1">검토서표지!B26</f>
        <v>2025-08</v>
      </c>
      <c r="B26" s="819"/>
      <c r="C26" s="819"/>
      <c r="D26" s="819"/>
      <c r="E26" s="819"/>
      <c r="F26" s="819"/>
      <c r="G26" s="819"/>
      <c r="H26" s="819"/>
    </row>
    <row r="32" spans="1:8" ht="27.75" customHeight="1">
      <c r="E32" s="817" t="s">
        <v>814</v>
      </c>
      <c r="F32" s="817"/>
      <c r="G32" s="817"/>
      <c r="H32" s="817"/>
    </row>
    <row r="33" spans="1:9" ht="27.75" customHeight="1">
      <c r="E33" s="817" t="s">
        <v>454</v>
      </c>
      <c r="F33" s="817"/>
      <c r="G33" s="817"/>
      <c r="H33" s="817"/>
      <c r="I33" s="444"/>
    </row>
    <row r="34" spans="1:9" ht="27.75" customHeight="1">
      <c r="E34" s="817" t="s">
        <v>455</v>
      </c>
      <c r="F34" s="817"/>
      <c r="G34" s="817"/>
      <c r="H34" s="817"/>
    </row>
    <row r="35" spans="1:9" ht="20.25" customHeight="1">
      <c r="E35" s="443"/>
      <c r="F35" s="443"/>
      <c r="G35" s="443"/>
      <c r="H35" s="443"/>
    </row>
    <row r="36" spans="1:9" ht="24" customHeight="1">
      <c r="A36" s="445"/>
      <c r="B36" s="445"/>
      <c r="C36" s="445"/>
      <c r="D36" s="445"/>
      <c r="E36" s="817"/>
      <c r="F36" s="817"/>
      <c r="G36" s="817"/>
      <c r="H36" s="817"/>
    </row>
    <row r="37" spans="1:9" ht="24" customHeight="1">
      <c r="A37" s="445"/>
      <c r="B37" s="445"/>
      <c r="C37" s="445"/>
      <c r="D37" s="445"/>
      <c r="E37" s="817"/>
      <c r="F37" s="817"/>
      <c r="G37" s="817"/>
      <c r="H37" s="817"/>
    </row>
  </sheetData>
  <mergeCells count="6">
    <mergeCell ref="E37:H37"/>
    <mergeCell ref="A26:H26"/>
    <mergeCell ref="E32:H32"/>
    <mergeCell ref="E33:H33"/>
    <mergeCell ref="E34:H34"/>
    <mergeCell ref="E36:H36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5" orientation="portrait" r:id="rId1"/>
  <headerFooter>
    <oddHeader>&amp;C&amp;K01+043본문서는 (주)지반디자인앤솔루션의 고유한 자산입니다.&amp;R&amp;"-,굵게"&amp;9&amp;K01+037(주)지반디자인앤솔루션
기업부설 연구소</oddHeader>
    <oddFooter>&amp;L&amp;"-,굵게"&amp;9&amp;K01+047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1068-3375-4315-AB7E-80576CE61715}">
  <sheetPr>
    <tabColor rgb="FF00B0F0"/>
  </sheetPr>
  <dimension ref="A1:AD18"/>
  <sheetViews>
    <sheetView view="pageBreakPreview" zoomScaleNormal="100" zoomScaleSheetLayoutView="100" zoomScalePageLayoutView="145" workbookViewId="0">
      <selection activeCell="M11" sqref="M11"/>
    </sheetView>
  </sheetViews>
  <sheetFormatPr defaultColWidth="2.875" defaultRowHeight="15" customHeight="1"/>
  <cols>
    <col min="1" max="1" width="2.375" style="3" customWidth="1"/>
    <col min="2" max="28" width="3.125" style="3" customWidth="1"/>
    <col min="29" max="29" width="2.5" style="3" customWidth="1"/>
    <col min="30" max="30" width="1.375" style="3" customWidth="1"/>
    <col min="31" max="41" width="2.875" style="3"/>
    <col min="42" max="42" width="8.75" style="3" bestFit="1" customWidth="1"/>
    <col min="43" max="50" width="2.875" style="3"/>
    <col min="51" max="51" width="8.25" style="3" bestFit="1" customWidth="1"/>
    <col min="52" max="52" width="8.75" style="3" bestFit="1" customWidth="1"/>
    <col min="53" max="53" width="7.5" style="3" bestFit="1" customWidth="1"/>
    <col min="54" max="284" width="2.875" style="3"/>
    <col min="285" max="285" width="3.75" style="3" customWidth="1"/>
    <col min="286" max="297" width="2.875" style="3"/>
    <col min="298" max="298" width="8.75" style="3" bestFit="1" customWidth="1"/>
    <col min="299" max="306" width="2.875" style="3"/>
    <col min="307" max="307" width="8.25" style="3" bestFit="1" customWidth="1"/>
    <col min="308" max="308" width="8.75" style="3" bestFit="1" customWidth="1"/>
    <col min="309" max="309" width="7.5" style="3" bestFit="1" customWidth="1"/>
    <col min="310" max="540" width="2.875" style="3"/>
    <col min="541" max="541" width="3.75" style="3" customWidth="1"/>
    <col min="542" max="553" width="2.875" style="3"/>
    <col min="554" max="554" width="8.75" style="3" bestFit="1" customWidth="1"/>
    <col min="555" max="562" width="2.875" style="3"/>
    <col min="563" max="563" width="8.25" style="3" bestFit="1" customWidth="1"/>
    <col min="564" max="564" width="8.75" style="3" bestFit="1" customWidth="1"/>
    <col min="565" max="565" width="7.5" style="3" bestFit="1" customWidth="1"/>
    <col min="566" max="796" width="2.875" style="3"/>
    <col min="797" max="797" width="3.75" style="3" customWidth="1"/>
    <col min="798" max="809" width="2.875" style="3"/>
    <col min="810" max="810" width="8.75" style="3" bestFit="1" customWidth="1"/>
    <col min="811" max="818" width="2.875" style="3"/>
    <col min="819" max="819" width="8.25" style="3" bestFit="1" customWidth="1"/>
    <col min="820" max="820" width="8.75" style="3" bestFit="1" customWidth="1"/>
    <col min="821" max="821" width="7.5" style="3" bestFit="1" customWidth="1"/>
    <col min="822" max="1052" width="2.875" style="3"/>
    <col min="1053" max="1053" width="3.75" style="3" customWidth="1"/>
    <col min="1054" max="1065" width="2.875" style="3"/>
    <col min="1066" max="1066" width="8.75" style="3" bestFit="1" customWidth="1"/>
    <col min="1067" max="1074" width="2.875" style="3"/>
    <col min="1075" max="1075" width="8.25" style="3" bestFit="1" customWidth="1"/>
    <col min="1076" max="1076" width="8.75" style="3" bestFit="1" customWidth="1"/>
    <col min="1077" max="1077" width="7.5" style="3" bestFit="1" customWidth="1"/>
    <col min="1078" max="1308" width="2.875" style="3"/>
    <col min="1309" max="1309" width="3.75" style="3" customWidth="1"/>
    <col min="1310" max="1321" width="2.875" style="3"/>
    <col min="1322" max="1322" width="8.75" style="3" bestFit="1" customWidth="1"/>
    <col min="1323" max="1330" width="2.875" style="3"/>
    <col min="1331" max="1331" width="8.25" style="3" bestFit="1" customWidth="1"/>
    <col min="1332" max="1332" width="8.75" style="3" bestFit="1" customWidth="1"/>
    <col min="1333" max="1333" width="7.5" style="3" bestFit="1" customWidth="1"/>
    <col min="1334" max="1564" width="2.875" style="3"/>
    <col min="1565" max="1565" width="3.75" style="3" customWidth="1"/>
    <col min="1566" max="1577" width="2.875" style="3"/>
    <col min="1578" max="1578" width="8.75" style="3" bestFit="1" customWidth="1"/>
    <col min="1579" max="1586" width="2.875" style="3"/>
    <col min="1587" max="1587" width="8.25" style="3" bestFit="1" customWidth="1"/>
    <col min="1588" max="1588" width="8.75" style="3" bestFit="1" customWidth="1"/>
    <col min="1589" max="1589" width="7.5" style="3" bestFit="1" customWidth="1"/>
    <col min="1590" max="1820" width="2.875" style="3"/>
    <col min="1821" max="1821" width="3.75" style="3" customWidth="1"/>
    <col min="1822" max="1833" width="2.875" style="3"/>
    <col min="1834" max="1834" width="8.75" style="3" bestFit="1" customWidth="1"/>
    <col min="1835" max="1842" width="2.875" style="3"/>
    <col min="1843" max="1843" width="8.25" style="3" bestFit="1" customWidth="1"/>
    <col min="1844" max="1844" width="8.75" style="3" bestFit="1" customWidth="1"/>
    <col min="1845" max="1845" width="7.5" style="3" bestFit="1" customWidth="1"/>
    <col min="1846" max="2076" width="2.875" style="3"/>
    <col min="2077" max="2077" width="3.75" style="3" customWidth="1"/>
    <col min="2078" max="2089" width="2.875" style="3"/>
    <col min="2090" max="2090" width="8.75" style="3" bestFit="1" customWidth="1"/>
    <col min="2091" max="2098" width="2.875" style="3"/>
    <col min="2099" max="2099" width="8.25" style="3" bestFit="1" customWidth="1"/>
    <col min="2100" max="2100" width="8.75" style="3" bestFit="1" customWidth="1"/>
    <col min="2101" max="2101" width="7.5" style="3" bestFit="1" customWidth="1"/>
    <col min="2102" max="2332" width="2.875" style="3"/>
    <col min="2333" max="2333" width="3.75" style="3" customWidth="1"/>
    <col min="2334" max="2345" width="2.875" style="3"/>
    <col min="2346" max="2346" width="8.75" style="3" bestFit="1" customWidth="1"/>
    <col min="2347" max="2354" width="2.875" style="3"/>
    <col min="2355" max="2355" width="8.25" style="3" bestFit="1" customWidth="1"/>
    <col min="2356" max="2356" width="8.75" style="3" bestFit="1" customWidth="1"/>
    <col min="2357" max="2357" width="7.5" style="3" bestFit="1" customWidth="1"/>
    <col min="2358" max="2588" width="2.875" style="3"/>
    <col min="2589" max="2589" width="3.75" style="3" customWidth="1"/>
    <col min="2590" max="2601" width="2.875" style="3"/>
    <col min="2602" max="2602" width="8.75" style="3" bestFit="1" customWidth="1"/>
    <col min="2603" max="2610" width="2.875" style="3"/>
    <col min="2611" max="2611" width="8.25" style="3" bestFit="1" customWidth="1"/>
    <col min="2612" max="2612" width="8.75" style="3" bestFit="1" customWidth="1"/>
    <col min="2613" max="2613" width="7.5" style="3" bestFit="1" customWidth="1"/>
    <col min="2614" max="2844" width="2.875" style="3"/>
    <col min="2845" max="2845" width="3.75" style="3" customWidth="1"/>
    <col min="2846" max="2857" width="2.875" style="3"/>
    <col min="2858" max="2858" width="8.75" style="3" bestFit="1" customWidth="1"/>
    <col min="2859" max="2866" width="2.875" style="3"/>
    <col min="2867" max="2867" width="8.25" style="3" bestFit="1" customWidth="1"/>
    <col min="2868" max="2868" width="8.75" style="3" bestFit="1" customWidth="1"/>
    <col min="2869" max="2869" width="7.5" style="3" bestFit="1" customWidth="1"/>
    <col min="2870" max="3100" width="2.875" style="3"/>
    <col min="3101" max="3101" width="3.75" style="3" customWidth="1"/>
    <col min="3102" max="3113" width="2.875" style="3"/>
    <col min="3114" max="3114" width="8.75" style="3" bestFit="1" customWidth="1"/>
    <col min="3115" max="3122" width="2.875" style="3"/>
    <col min="3123" max="3123" width="8.25" style="3" bestFit="1" customWidth="1"/>
    <col min="3124" max="3124" width="8.75" style="3" bestFit="1" customWidth="1"/>
    <col min="3125" max="3125" width="7.5" style="3" bestFit="1" customWidth="1"/>
    <col min="3126" max="3356" width="2.875" style="3"/>
    <col min="3357" max="3357" width="3.75" style="3" customWidth="1"/>
    <col min="3358" max="3369" width="2.875" style="3"/>
    <col min="3370" max="3370" width="8.75" style="3" bestFit="1" customWidth="1"/>
    <col min="3371" max="3378" width="2.875" style="3"/>
    <col min="3379" max="3379" width="8.25" style="3" bestFit="1" customWidth="1"/>
    <col min="3380" max="3380" width="8.75" style="3" bestFit="1" customWidth="1"/>
    <col min="3381" max="3381" width="7.5" style="3" bestFit="1" customWidth="1"/>
    <col min="3382" max="3612" width="2.875" style="3"/>
    <col min="3613" max="3613" width="3.75" style="3" customWidth="1"/>
    <col min="3614" max="3625" width="2.875" style="3"/>
    <col min="3626" max="3626" width="8.75" style="3" bestFit="1" customWidth="1"/>
    <col min="3627" max="3634" width="2.875" style="3"/>
    <col min="3635" max="3635" width="8.25" style="3" bestFit="1" customWidth="1"/>
    <col min="3636" max="3636" width="8.75" style="3" bestFit="1" customWidth="1"/>
    <col min="3637" max="3637" width="7.5" style="3" bestFit="1" customWidth="1"/>
    <col min="3638" max="3868" width="2.875" style="3"/>
    <col min="3869" max="3869" width="3.75" style="3" customWidth="1"/>
    <col min="3870" max="3881" width="2.875" style="3"/>
    <col min="3882" max="3882" width="8.75" style="3" bestFit="1" customWidth="1"/>
    <col min="3883" max="3890" width="2.875" style="3"/>
    <col min="3891" max="3891" width="8.25" style="3" bestFit="1" customWidth="1"/>
    <col min="3892" max="3892" width="8.75" style="3" bestFit="1" customWidth="1"/>
    <col min="3893" max="3893" width="7.5" style="3" bestFit="1" customWidth="1"/>
    <col min="3894" max="4124" width="2.875" style="3"/>
    <col min="4125" max="4125" width="3.75" style="3" customWidth="1"/>
    <col min="4126" max="4137" width="2.875" style="3"/>
    <col min="4138" max="4138" width="8.75" style="3" bestFit="1" customWidth="1"/>
    <col min="4139" max="4146" width="2.875" style="3"/>
    <col min="4147" max="4147" width="8.25" style="3" bestFit="1" customWidth="1"/>
    <col min="4148" max="4148" width="8.75" style="3" bestFit="1" customWidth="1"/>
    <col min="4149" max="4149" width="7.5" style="3" bestFit="1" customWidth="1"/>
    <col min="4150" max="4380" width="2.875" style="3"/>
    <col min="4381" max="4381" width="3.75" style="3" customWidth="1"/>
    <col min="4382" max="4393" width="2.875" style="3"/>
    <col min="4394" max="4394" width="8.75" style="3" bestFit="1" customWidth="1"/>
    <col min="4395" max="4402" width="2.875" style="3"/>
    <col min="4403" max="4403" width="8.25" style="3" bestFit="1" customWidth="1"/>
    <col min="4404" max="4404" width="8.75" style="3" bestFit="1" customWidth="1"/>
    <col min="4405" max="4405" width="7.5" style="3" bestFit="1" customWidth="1"/>
    <col min="4406" max="4636" width="2.875" style="3"/>
    <col min="4637" max="4637" width="3.75" style="3" customWidth="1"/>
    <col min="4638" max="4649" width="2.875" style="3"/>
    <col min="4650" max="4650" width="8.75" style="3" bestFit="1" customWidth="1"/>
    <col min="4651" max="4658" width="2.875" style="3"/>
    <col min="4659" max="4659" width="8.25" style="3" bestFit="1" customWidth="1"/>
    <col min="4660" max="4660" width="8.75" style="3" bestFit="1" customWidth="1"/>
    <col min="4661" max="4661" width="7.5" style="3" bestFit="1" customWidth="1"/>
    <col min="4662" max="4892" width="2.875" style="3"/>
    <col min="4893" max="4893" width="3.75" style="3" customWidth="1"/>
    <col min="4894" max="4905" width="2.875" style="3"/>
    <col min="4906" max="4906" width="8.75" style="3" bestFit="1" customWidth="1"/>
    <col min="4907" max="4914" width="2.875" style="3"/>
    <col min="4915" max="4915" width="8.25" style="3" bestFit="1" customWidth="1"/>
    <col min="4916" max="4916" width="8.75" style="3" bestFit="1" customWidth="1"/>
    <col min="4917" max="4917" width="7.5" style="3" bestFit="1" customWidth="1"/>
    <col min="4918" max="5148" width="2.875" style="3"/>
    <col min="5149" max="5149" width="3.75" style="3" customWidth="1"/>
    <col min="5150" max="5161" width="2.875" style="3"/>
    <col min="5162" max="5162" width="8.75" style="3" bestFit="1" customWidth="1"/>
    <col min="5163" max="5170" width="2.875" style="3"/>
    <col min="5171" max="5171" width="8.25" style="3" bestFit="1" customWidth="1"/>
    <col min="5172" max="5172" width="8.75" style="3" bestFit="1" customWidth="1"/>
    <col min="5173" max="5173" width="7.5" style="3" bestFit="1" customWidth="1"/>
    <col min="5174" max="5404" width="2.875" style="3"/>
    <col min="5405" max="5405" width="3.75" style="3" customWidth="1"/>
    <col min="5406" max="5417" width="2.875" style="3"/>
    <col min="5418" max="5418" width="8.75" style="3" bestFit="1" customWidth="1"/>
    <col min="5419" max="5426" width="2.875" style="3"/>
    <col min="5427" max="5427" width="8.25" style="3" bestFit="1" customWidth="1"/>
    <col min="5428" max="5428" width="8.75" style="3" bestFit="1" customWidth="1"/>
    <col min="5429" max="5429" width="7.5" style="3" bestFit="1" customWidth="1"/>
    <col min="5430" max="5660" width="2.875" style="3"/>
    <col min="5661" max="5661" width="3.75" style="3" customWidth="1"/>
    <col min="5662" max="5673" width="2.875" style="3"/>
    <col min="5674" max="5674" width="8.75" style="3" bestFit="1" customWidth="1"/>
    <col min="5675" max="5682" width="2.875" style="3"/>
    <col min="5683" max="5683" width="8.25" style="3" bestFit="1" customWidth="1"/>
    <col min="5684" max="5684" width="8.75" style="3" bestFit="1" customWidth="1"/>
    <col min="5685" max="5685" width="7.5" style="3" bestFit="1" customWidth="1"/>
    <col min="5686" max="5916" width="2.875" style="3"/>
    <col min="5917" max="5917" width="3.75" style="3" customWidth="1"/>
    <col min="5918" max="5929" width="2.875" style="3"/>
    <col min="5930" max="5930" width="8.75" style="3" bestFit="1" customWidth="1"/>
    <col min="5931" max="5938" width="2.875" style="3"/>
    <col min="5939" max="5939" width="8.25" style="3" bestFit="1" customWidth="1"/>
    <col min="5940" max="5940" width="8.75" style="3" bestFit="1" customWidth="1"/>
    <col min="5941" max="5941" width="7.5" style="3" bestFit="1" customWidth="1"/>
    <col min="5942" max="6172" width="2.875" style="3"/>
    <col min="6173" max="6173" width="3.75" style="3" customWidth="1"/>
    <col min="6174" max="6185" width="2.875" style="3"/>
    <col min="6186" max="6186" width="8.75" style="3" bestFit="1" customWidth="1"/>
    <col min="6187" max="6194" width="2.875" style="3"/>
    <col min="6195" max="6195" width="8.25" style="3" bestFit="1" customWidth="1"/>
    <col min="6196" max="6196" width="8.75" style="3" bestFit="1" customWidth="1"/>
    <col min="6197" max="6197" width="7.5" style="3" bestFit="1" customWidth="1"/>
    <col min="6198" max="6428" width="2.875" style="3"/>
    <col min="6429" max="6429" width="3.75" style="3" customWidth="1"/>
    <col min="6430" max="6441" width="2.875" style="3"/>
    <col min="6442" max="6442" width="8.75" style="3" bestFit="1" customWidth="1"/>
    <col min="6443" max="6450" width="2.875" style="3"/>
    <col min="6451" max="6451" width="8.25" style="3" bestFit="1" customWidth="1"/>
    <col min="6452" max="6452" width="8.75" style="3" bestFit="1" customWidth="1"/>
    <col min="6453" max="6453" width="7.5" style="3" bestFit="1" customWidth="1"/>
    <col min="6454" max="6684" width="2.875" style="3"/>
    <col min="6685" max="6685" width="3.75" style="3" customWidth="1"/>
    <col min="6686" max="6697" width="2.875" style="3"/>
    <col min="6698" max="6698" width="8.75" style="3" bestFit="1" customWidth="1"/>
    <col min="6699" max="6706" width="2.875" style="3"/>
    <col min="6707" max="6707" width="8.25" style="3" bestFit="1" customWidth="1"/>
    <col min="6708" max="6708" width="8.75" style="3" bestFit="1" customWidth="1"/>
    <col min="6709" max="6709" width="7.5" style="3" bestFit="1" customWidth="1"/>
    <col min="6710" max="6940" width="2.875" style="3"/>
    <col min="6941" max="6941" width="3.75" style="3" customWidth="1"/>
    <col min="6942" max="6953" width="2.875" style="3"/>
    <col min="6954" max="6954" width="8.75" style="3" bestFit="1" customWidth="1"/>
    <col min="6955" max="6962" width="2.875" style="3"/>
    <col min="6963" max="6963" width="8.25" style="3" bestFit="1" customWidth="1"/>
    <col min="6964" max="6964" width="8.75" style="3" bestFit="1" customWidth="1"/>
    <col min="6965" max="6965" width="7.5" style="3" bestFit="1" customWidth="1"/>
    <col min="6966" max="7196" width="2.875" style="3"/>
    <col min="7197" max="7197" width="3.75" style="3" customWidth="1"/>
    <col min="7198" max="7209" width="2.875" style="3"/>
    <col min="7210" max="7210" width="8.75" style="3" bestFit="1" customWidth="1"/>
    <col min="7211" max="7218" width="2.875" style="3"/>
    <col min="7219" max="7219" width="8.25" style="3" bestFit="1" customWidth="1"/>
    <col min="7220" max="7220" width="8.75" style="3" bestFit="1" customWidth="1"/>
    <col min="7221" max="7221" width="7.5" style="3" bestFit="1" customWidth="1"/>
    <col min="7222" max="7452" width="2.875" style="3"/>
    <col min="7453" max="7453" width="3.75" style="3" customWidth="1"/>
    <col min="7454" max="7465" width="2.875" style="3"/>
    <col min="7466" max="7466" width="8.75" style="3" bestFit="1" customWidth="1"/>
    <col min="7467" max="7474" width="2.875" style="3"/>
    <col min="7475" max="7475" width="8.25" style="3" bestFit="1" customWidth="1"/>
    <col min="7476" max="7476" width="8.75" style="3" bestFit="1" customWidth="1"/>
    <col min="7477" max="7477" width="7.5" style="3" bestFit="1" customWidth="1"/>
    <col min="7478" max="7708" width="2.875" style="3"/>
    <col min="7709" max="7709" width="3.75" style="3" customWidth="1"/>
    <col min="7710" max="7721" width="2.875" style="3"/>
    <col min="7722" max="7722" width="8.75" style="3" bestFit="1" customWidth="1"/>
    <col min="7723" max="7730" width="2.875" style="3"/>
    <col min="7731" max="7731" width="8.25" style="3" bestFit="1" customWidth="1"/>
    <col min="7732" max="7732" width="8.75" style="3" bestFit="1" customWidth="1"/>
    <col min="7733" max="7733" width="7.5" style="3" bestFit="1" customWidth="1"/>
    <col min="7734" max="7964" width="2.875" style="3"/>
    <col min="7965" max="7965" width="3.75" style="3" customWidth="1"/>
    <col min="7966" max="7977" width="2.875" style="3"/>
    <col min="7978" max="7978" width="8.75" style="3" bestFit="1" customWidth="1"/>
    <col min="7979" max="7986" width="2.875" style="3"/>
    <col min="7987" max="7987" width="8.25" style="3" bestFit="1" customWidth="1"/>
    <col min="7988" max="7988" width="8.75" style="3" bestFit="1" customWidth="1"/>
    <col min="7989" max="7989" width="7.5" style="3" bestFit="1" customWidth="1"/>
    <col min="7990" max="8220" width="2.875" style="3"/>
    <col min="8221" max="8221" width="3.75" style="3" customWidth="1"/>
    <col min="8222" max="8233" width="2.875" style="3"/>
    <col min="8234" max="8234" width="8.75" style="3" bestFit="1" customWidth="1"/>
    <col min="8235" max="8242" width="2.875" style="3"/>
    <col min="8243" max="8243" width="8.25" style="3" bestFit="1" customWidth="1"/>
    <col min="8244" max="8244" width="8.75" style="3" bestFit="1" customWidth="1"/>
    <col min="8245" max="8245" width="7.5" style="3" bestFit="1" customWidth="1"/>
    <col min="8246" max="8476" width="2.875" style="3"/>
    <col min="8477" max="8477" width="3.75" style="3" customWidth="1"/>
    <col min="8478" max="8489" width="2.875" style="3"/>
    <col min="8490" max="8490" width="8.75" style="3" bestFit="1" customWidth="1"/>
    <col min="8491" max="8498" width="2.875" style="3"/>
    <col min="8499" max="8499" width="8.25" style="3" bestFit="1" customWidth="1"/>
    <col min="8500" max="8500" width="8.75" style="3" bestFit="1" customWidth="1"/>
    <col min="8501" max="8501" width="7.5" style="3" bestFit="1" customWidth="1"/>
    <col min="8502" max="8732" width="2.875" style="3"/>
    <col min="8733" max="8733" width="3.75" style="3" customWidth="1"/>
    <col min="8734" max="8745" width="2.875" style="3"/>
    <col min="8746" max="8746" width="8.75" style="3" bestFit="1" customWidth="1"/>
    <col min="8747" max="8754" width="2.875" style="3"/>
    <col min="8755" max="8755" width="8.25" style="3" bestFit="1" customWidth="1"/>
    <col min="8756" max="8756" width="8.75" style="3" bestFit="1" customWidth="1"/>
    <col min="8757" max="8757" width="7.5" style="3" bestFit="1" customWidth="1"/>
    <col min="8758" max="8988" width="2.875" style="3"/>
    <col min="8989" max="8989" width="3.75" style="3" customWidth="1"/>
    <col min="8990" max="9001" width="2.875" style="3"/>
    <col min="9002" max="9002" width="8.75" style="3" bestFit="1" customWidth="1"/>
    <col min="9003" max="9010" width="2.875" style="3"/>
    <col min="9011" max="9011" width="8.25" style="3" bestFit="1" customWidth="1"/>
    <col min="9012" max="9012" width="8.75" style="3" bestFit="1" customWidth="1"/>
    <col min="9013" max="9013" width="7.5" style="3" bestFit="1" customWidth="1"/>
    <col min="9014" max="9244" width="2.875" style="3"/>
    <col min="9245" max="9245" width="3.75" style="3" customWidth="1"/>
    <col min="9246" max="9257" width="2.875" style="3"/>
    <col min="9258" max="9258" width="8.75" style="3" bestFit="1" customWidth="1"/>
    <col min="9259" max="9266" width="2.875" style="3"/>
    <col min="9267" max="9267" width="8.25" style="3" bestFit="1" customWidth="1"/>
    <col min="9268" max="9268" width="8.75" style="3" bestFit="1" customWidth="1"/>
    <col min="9269" max="9269" width="7.5" style="3" bestFit="1" customWidth="1"/>
    <col min="9270" max="9500" width="2.875" style="3"/>
    <col min="9501" max="9501" width="3.75" style="3" customWidth="1"/>
    <col min="9502" max="9513" width="2.875" style="3"/>
    <col min="9514" max="9514" width="8.75" style="3" bestFit="1" customWidth="1"/>
    <col min="9515" max="9522" width="2.875" style="3"/>
    <col min="9523" max="9523" width="8.25" style="3" bestFit="1" customWidth="1"/>
    <col min="9524" max="9524" width="8.75" style="3" bestFit="1" customWidth="1"/>
    <col min="9525" max="9525" width="7.5" style="3" bestFit="1" customWidth="1"/>
    <col min="9526" max="9756" width="2.875" style="3"/>
    <col min="9757" max="9757" width="3.75" style="3" customWidth="1"/>
    <col min="9758" max="9769" width="2.875" style="3"/>
    <col min="9770" max="9770" width="8.75" style="3" bestFit="1" customWidth="1"/>
    <col min="9771" max="9778" width="2.875" style="3"/>
    <col min="9779" max="9779" width="8.25" style="3" bestFit="1" customWidth="1"/>
    <col min="9780" max="9780" width="8.75" style="3" bestFit="1" customWidth="1"/>
    <col min="9781" max="9781" width="7.5" style="3" bestFit="1" customWidth="1"/>
    <col min="9782" max="10012" width="2.875" style="3"/>
    <col min="10013" max="10013" width="3.75" style="3" customWidth="1"/>
    <col min="10014" max="10025" width="2.875" style="3"/>
    <col min="10026" max="10026" width="8.75" style="3" bestFit="1" customWidth="1"/>
    <col min="10027" max="10034" width="2.875" style="3"/>
    <col min="10035" max="10035" width="8.25" style="3" bestFit="1" customWidth="1"/>
    <col min="10036" max="10036" width="8.75" style="3" bestFit="1" customWidth="1"/>
    <col min="10037" max="10037" width="7.5" style="3" bestFit="1" customWidth="1"/>
    <col min="10038" max="10268" width="2.875" style="3"/>
    <col min="10269" max="10269" width="3.75" style="3" customWidth="1"/>
    <col min="10270" max="10281" width="2.875" style="3"/>
    <col min="10282" max="10282" width="8.75" style="3" bestFit="1" customWidth="1"/>
    <col min="10283" max="10290" width="2.875" style="3"/>
    <col min="10291" max="10291" width="8.25" style="3" bestFit="1" customWidth="1"/>
    <col min="10292" max="10292" width="8.75" style="3" bestFit="1" customWidth="1"/>
    <col min="10293" max="10293" width="7.5" style="3" bestFit="1" customWidth="1"/>
    <col min="10294" max="10524" width="2.875" style="3"/>
    <col min="10525" max="10525" width="3.75" style="3" customWidth="1"/>
    <col min="10526" max="10537" width="2.875" style="3"/>
    <col min="10538" max="10538" width="8.75" style="3" bestFit="1" customWidth="1"/>
    <col min="10539" max="10546" width="2.875" style="3"/>
    <col min="10547" max="10547" width="8.25" style="3" bestFit="1" customWidth="1"/>
    <col min="10548" max="10548" width="8.75" style="3" bestFit="1" customWidth="1"/>
    <col min="10549" max="10549" width="7.5" style="3" bestFit="1" customWidth="1"/>
    <col min="10550" max="10780" width="2.875" style="3"/>
    <col min="10781" max="10781" width="3.75" style="3" customWidth="1"/>
    <col min="10782" max="10793" width="2.875" style="3"/>
    <col min="10794" max="10794" width="8.75" style="3" bestFit="1" customWidth="1"/>
    <col min="10795" max="10802" width="2.875" style="3"/>
    <col min="10803" max="10803" width="8.25" style="3" bestFit="1" customWidth="1"/>
    <col min="10804" max="10804" width="8.75" style="3" bestFit="1" customWidth="1"/>
    <col min="10805" max="10805" width="7.5" style="3" bestFit="1" customWidth="1"/>
    <col min="10806" max="11036" width="2.875" style="3"/>
    <col min="11037" max="11037" width="3.75" style="3" customWidth="1"/>
    <col min="11038" max="11049" width="2.875" style="3"/>
    <col min="11050" max="11050" width="8.75" style="3" bestFit="1" customWidth="1"/>
    <col min="11051" max="11058" width="2.875" style="3"/>
    <col min="11059" max="11059" width="8.25" style="3" bestFit="1" customWidth="1"/>
    <col min="11060" max="11060" width="8.75" style="3" bestFit="1" customWidth="1"/>
    <col min="11061" max="11061" width="7.5" style="3" bestFit="1" customWidth="1"/>
    <col min="11062" max="11292" width="2.875" style="3"/>
    <col min="11293" max="11293" width="3.75" style="3" customWidth="1"/>
    <col min="11294" max="11305" width="2.875" style="3"/>
    <col min="11306" max="11306" width="8.75" style="3" bestFit="1" customWidth="1"/>
    <col min="11307" max="11314" width="2.875" style="3"/>
    <col min="11315" max="11315" width="8.25" style="3" bestFit="1" customWidth="1"/>
    <col min="11316" max="11316" width="8.75" style="3" bestFit="1" customWidth="1"/>
    <col min="11317" max="11317" width="7.5" style="3" bestFit="1" customWidth="1"/>
    <col min="11318" max="11548" width="2.875" style="3"/>
    <col min="11549" max="11549" width="3.75" style="3" customWidth="1"/>
    <col min="11550" max="11561" width="2.875" style="3"/>
    <col min="11562" max="11562" width="8.75" style="3" bestFit="1" customWidth="1"/>
    <col min="11563" max="11570" width="2.875" style="3"/>
    <col min="11571" max="11571" width="8.25" style="3" bestFit="1" customWidth="1"/>
    <col min="11572" max="11572" width="8.75" style="3" bestFit="1" customWidth="1"/>
    <col min="11573" max="11573" width="7.5" style="3" bestFit="1" customWidth="1"/>
    <col min="11574" max="11804" width="2.875" style="3"/>
    <col min="11805" max="11805" width="3.75" style="3" customWidth="1"/>
    <col min="11806" max="11817" width="2.875" style="3"/>
    <col min="11818" max="11818" width="8.75" style="3" bestFit="1" customWidth="1"/>
    <col min="11819" max="11826" width="2.875" style="3"/>
    <col min="11827" max="11827" width="8.25" style="3" bestFit="1" customWidth="1"/>
    <col min="11828" max="11828" width="8.75" style="3" bestFit="1" customWidth="1"/>
    <col min="11829" max="11829" width="7.5" style="3" bestFit="1" customWidth="1"/>
    <col min="11830" max="12060" width="2.875" style="3"/>
    <col min="12061" max="12061" width="3.75" style="3" customWidth="1"/>
    <col min="12062" max="12073" width="2.875" style="3"/>
    <col min="12074" max="12074" width="8.75" style="3" bestFit="1" customWidth="1"/>
    <col min="12075" max="12082" width="2.875" style="3"/>
    <col min="12083" max="12083" width="8.25" style="3" bestFit="1" customWidth="1"/>
    <col min="12084" max="12084" width="8.75" style="3" bestFit="1" customWidth="1"/>
    <col min="12085" max="12085" width="7.5" style="3" bestFit="1" customWidth="1"/>
    <col min="12086" max="12316" width="2.875" style="3"/>
    <col min="12317" max="12317" width="3.75" style="3" customWidth="1"/>
    <col min="12318" max="12329" width="2.875" style="3"/>
    <col min="12330" max="12330" width="8.75" style="3" bestFit="1" customWidth="1"/>
    <col min="12331" max="12338" width="2.875" style="3"/>
    <col min="12339" max="12339" width="8.25" style="3" bestFit="1" customWidth="1"/>
    <col min="12340" max="12340" width="8.75" style="3" bestFit="1" customWidth="1"/>
    <col min="12341" max="12341" width="7.5" style="3" bestFit="1" customWidth="1"/>
    <col min="12342" max="12572" width="2.875" style="3"/>
    <col min="12573" max="12573" width="3.75" style="3" customWidth="1"/>
    <col min="12574" max="12585" width="2.875" style="3"/>
    <col min="12586" max="12586" width="8.75" style="3" bestFit="1" customWidth="1"/>
    <col min="12587" max="12594" width="2.875" style="3"/>
    <col min="12595" max="12595" width="8.25" style="3" bestFit="1" customWidth="1"/>
    <col min="12596" max="12596" width="8.75" style="3" bestFit="1" customWidth="1"/>
    <col min="12597" max="12597" width="7.5" style="3" bestFit="1" customWidth="1"/>
    <col min="12598" max="12828" width="2.875" style="3"/>
    <col min="12829" max="12829" width="3.75" style="3" customWidth="1"/>
    <col min="12830" max="12841" width="2.875" style="3"/>
    <col min="12842" max="12842" width="8.75" style="3" bestFit="1" customWidth="1"/>
    <col min="12843" max="12850" width="2.875" style="3"/>
    <col min="12851" max="12851" width="8.25" style="3" bestFit="1" customWidth="1"/>
    <col min="12852" max="12852" width="8.75" style="3" bestFit="1" customWidth="1"/>
    <col min="12853" max="12853" width="7.5" style="3" bestFit="1" customWidth="1"/>
    <col min="12854" max="13084" width="2.875" style="3"/>
    <col min="13085" max="13085" width="3.75" style="3" customWidth="1"/>
    <col min="13086" max="13097" width="2.875" style="3"/>
    <col min="13098" max="13098" width="8.75" style="3" bestFit="1" customWidth="1"/>
    <col min="13099" max="13106" width="2.875" style="3"/>
    <col min="13107" max="13107" width="8.25" style="3" bestFit="1" customWidth="1"/>
    <col min="13108" max="13108" width="8.75" style="3" bestFit="1" customWidth="1"/>
    <col min="13109" max="13109" width="7.5" style="3" bestFit="1" customWidth="1"/>
    <col min="13110" max="13340" width="2.875" style="3"/>
    <col min="13341" max="13341" width="3.75" style="3" customWidth="1"/>
    <col min="13342" max="13353" width="2.875" style="3"/>
    <col min="13354" max="13354" width="8.75" style="3" bestFit="1" customWidth="1"/>
    <col min="13355" max="13362" width="2.875" style="3"/>
    <col min="13363" max="13363" width="8.25" style="3" bestFit="1" customWidth="1"/>
    <col min="13364" max="13364" width="8.75" style="3" bestFit="1" customWidth="1"/>
    <col min="13365" max="13365" width="7.5" style="3" bestFit="1" customWidth="1"/>
    <col min="13366" max="13596" width="2.875" style="3"/>
    <col min="13597" max="13597" width="3.75" style="3" customWidth="1"/>
    <col min="13598" max="13609" width="2.875" style="3"/>
    <col min="13610" max="13610" width="8.75" style="3" bestFit="1" customWidth="1"/>
    <col min="13611" max="13618" width="2.875" style="3"/>
    <col min="13619" max="13619" width="8.25" style="3" bestFit="1" customWidth="1"/>
    <col min="13620" max="13620" width="8.75" style="3" bestFit="1" customWidth="1"/>
    <col min="13621" max="13621" width="7.5" style="3" bestFit="1" customWidth="1"/>
    <col min="13622" max="13852" width="2.875" style="3"/>
    <col min="13853" max="13853" width="3.75" style="3" customWidth="1"/>
    <col min="13854" max="13865" width="2.875" style="3"/>
    <col min="13866" max="13866" width="8.75" style="3" bestFit="1" customWidth="1"/>
    <col min="13867" max="13874" width="2.875" style="3"/>
    <col min="13875" max="13875" width="8.25" style="3" bestFit="1" customWidth="1"/>
    <col min="13876" max="13876" width="8.75" style="3" bestFit="1" customWidth="1"/>
    <col min="13877" max="13877" width="7.5" style="3" bestFit="1" customWidth="1"/>
    <col min="13878" max="14108" width="2.875" style="3"/>
    <col min="14109" max="14109" width="3.75" style="3" customWidth="1"/>
    <col min="14110" max="14121" width="2.875" style="3"/>
    <col min="14122" max="14122" width="8.75" style="3" bestFit="1" customWidth="1"/>
    <col min="14123" max="14130" width="2.875" style="3"/>
    <col min="14131" max="14131" width="8.25" style="3" bestFit="1" customWidth="1"/>
    <col min="14132" max="14132" width="8.75" style="3" bestFit="1" customWidth="1"/>
    <col min="14133" max="14133" width="7.5" style="3" bestFit="1" customWidth="1"/>
    <col min="14134" max="14364" width="2.875" style="3"/>
    <col min="14365" max="14365" width="3.75" style="3" customWidth="1"/>
    <col min="14366" max="14377" width="2.875" style="3"/>
    <col min="14378" max="14378" width="8.75" style="3" bestFit="1" customWidth="1"/>
    <col min="14379" max="14386" width="2.875" style="3"/>
    <col min="14387" max="14387" width="8.25" style="3" bestFit="1" customWidth="1"/>
    <col min="14388" max="14388" width="8.75" style="3" bestFit="1" customWidth="1"/>
    <col min="14389" max="14389" width="7.5" style="3" bestFit="1" customWidth="1"/>
    <col min="14390" max="14620" width="2.875" style="3"/>
    <col min="14621" max="14621" width="3.75" style="3" customWidth="1"/>
    <col min="14622" max="14633" width="2.875" style="3"/>
    <col min="14634" max="14634" width="8.75" style="3" bestFit="1" customWidth="1"/>
    <col min="14635" max="14642" width="2.875" style="3"/>
    <col min="14643" max="14643" width="8.25" style="3" bestFit="1" customWidth="1"/>
    <col min="14644" max="14644" width="8.75" style="3" bestFit="1" customWidth="1"/>
    <col min="14645" max="14645" width="7.5" style="3" bestFit="1" customWidth="1"/>
    <col min="14646" max="14876" width="2.875" style="3"/>
    <col min="14877" max="14877" width="3.75" style="3" customWidth="1"/>
    <col min="14878" max="14889" width="2.875" style="3"/>
    <col min="14890" max="14890" width="8.75" style="3" bestFit="1" customWidth="1"/>
    <col min="14891" max="14898" width="2.875" style="3"/>
    <col min="14899" max="14899" width="8.25" style="3" bestFit="1" customWidth="1"/>
    <col min="14900" max="14900" width="8.75" style="3" bestFit="1" customWidth="1"/>
    <col min="14901" max="14901" width="7.5" style="3" bestFit="1" customWidth="1"/>
    <col min="14902" max="15132" width="2.875" style="3"/>
    <col min="15133" max="15133" width="3.75" style="3" customWidth="1"/>
    <col min="15134" max="15145" width="2.875" style="3"/>
    <col min="15146" max="15146" width="8.75" style="3" bestFit="1" customWidth="1"/>
    <col min="15147" max="15154" width="2.875" style="3"/>
    <col min="15155" max="15155" width="8.25" style="3" bestFit="1" customWidth="1"/>
    <col min="15156" max="15156" width="8.75" style="3" bestFit="1" customWidth="1"/>
    <col min="15157" max="15157" width="7.5" style="3" bestFit="1" customWidth="1"/>
    <col min="15158" max="15388" width="2.875" style="3"/>
    <col min="15389" max="15389" width="3.75" style="3" customWidth="1"/>
    <col min="15390" max="15401" width="2.875" style="3"/>
    <col min="15402" max="15402" width="8.75" style="3" bestFit="1" customWidth="1"/>
    <col min="15403" max="15410" width="2.875" style="3"/>
    <col min="15411" max="15411" width="8.25" style="3" bestFit="1" customWidth="1"/>
    <col min="15412" max="15412" width="8.75" style="3" bestFit="1" customWidth="1"/>
    <col min="15413" max="15413" width="7.5" style="3" bestFit="1" customWidth="1"/>
    <col min="15414" max="15644" width="2.875" style="3"/>
    <col min="15645" max="15645" width="3.75" style="3" customWidth="1"/>
    <col min="15646" max="15657" width="2.875" style="3"/>
    <col min="15658" max="15658" width="8.75" style="3" bestFit="1" customWidth="1"/>
    <col min="15659" max="15666" width="2.875" style="3"/>
    <col min="15667" max="15667" width="8.25" style="3" bestFit="1" customWidth="1"/>
    <col min="15668" max="15668" width="8.75" style="3" bestFit="1" customWidth="1"/>
    <col min="15669" max="15669" width="7.5" style="3" bestFit="1" customWidth="1"/>
    <col min="15670" max="15900" width="2.875" style="3"/>
    <col min="15901" max="15901" width="3.75" style="3" customWidth="1"/>
    <col min="15902" max="15913" width="2.875" style="3"/>
    <col min="15914" max="15914" width="8.75" style="3" bestFit="1" customWidth="1"/>
    <col min="15915" max="15922" width="2.875" style="3"/>
    <col min="15923" max="15923" width="8.25" style="3" bestFit="1" customWidth="1"/>
    <col min="15924" max="15924" width="8.75" style="3" bestFit="1" customWidth="1"/>
    <col min="15925" max="15925" width="7.5" style="3" bestFit="1" customWidth="1"/>
    <col min="15926" max="16156" width="2.875" style="3"/>
    <col min="16157" max="16157" width="3.75" style="3" customWidth="1"/>
    <col min="16158" max="16169" width="2.875" style="3"/>
    <col min="16170" max="16170" width="8.75" style="3" bestFit="1" customWidth="1"/>
    <col min="16171" max="16178" width="2.875" style="3"/>
    <col min="16179" max="16179" width="8.25" style="3" bestFit="1" customWidth="1"/>
    <col min="16180" max="16180" width="8.75" style="3" bestFit="1" customWidth="1"/>
    <col min="16181" max="16181" width="7.5" style="3" bestFit="1" customWidth="1"/>
    <col min="16182" max="16384" width="2.875" style="3"/>
  </cols>
  <sheetData>
    <row r="1" spans="1:30" ht="30" customHeight="1">
      <c r="A1" s="806"/>
      <c r="B1" s="806"/>
      <c r="C1" s="806"/>
      <c r="D1" s="806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</row>
    <row r="2" spans="1:30" ht="96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30" ht="42" customHeight="1">
      <c r="A3" s="454" t="s">
        <v>456</v>
      </c>
      <c r="B3" s="454" t="s">
        <v>815</v>
      </c>
      <c r="C3" s="454"/>
      <c r="D3" s="454"/>
      <c r="H3" s="454" t="str">
        <f>입력!B4</f>
        <v>전북 전주시 완산구 상림동 596 다세대주택 신축공사</v>
      </c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</row>
    <row r="4" spans="1:30" ht="42" customHeight="1">
      <c r="A4" s="454" t="s">
        <v>456</v>
      </c>
      <c r="B4" s="454" t="s">
        <v>816</v>
      </c>
      <c r="C4" s="454"/>
      <c r="D4" s="454"/>
      <c r="H4" s="454" t="str">
        <f>입력!B17&amp;" kN/m2"</f>
        <v>150 kN/m2</v>
      </c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</row>
    <row r="5" spans="1:30" ht="42" customHeight="1">
      <c r="A5" s="454" t="s">
        <v>456</v>
      </c>
      <c r="B5" s="454" t="s">
        <v>817</v>
      </c>
      <c r="C5" s="454"/>
      <c r="D5" s="454"/>
      <c r="H5" s="454" t="s">
        <v>818</v>
      </c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</row>
    <row r="6" spans="1:30" ht="42" customHeight="1">
      <c r="A6" s="454" t="s">
        <v>456</v>
      </c>
      <c r="B6" s="454" t="s">
        <v>819</v>
      </c>
      <c r="C6" s="454"/>
      <c r="D6" s="454"/>
      <c r="H6" s="714" t="str">
        <f>"페블테크 "&amp;입력!B16&amp;"mm + PET MAT "&amp;입력!C16&amp;"겹"</f>
        <v>페블테크 500mm + PET MAT 1겹</v>
      </c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  <c r="Y6" s="714"/>
      <c r="Z6" s="714"/>
      <c r="AA6" s="714"/>
      <c r="AB6" s="714"/>
    </row>
    <row r="7" spans="1:30" ht="48" customHeight="1">
      <c r="A7" s="454"/>
      <c r="B7" s="454"/>
      <c r="C7" s="454"/>
      <c r="D7" s="454"/>
      <c r="F7" s="454"/>
      <c r="G7" s="454"/>
      <c r="H7" s="454"/>
      <c r="I7" s="454"/>
      <c r="J7" s="455"/>
      <c r="K7" s="455"/>
      <c r="L7" s="455"/>
      <c r="M7" s="455"/>
    </row>
    <row r="8" spans="1:30" s="85" customFormat="1" ht="30.75" customHeight="1">
      <c r="A8" s="446" t="s">
        <v>820</v>
      </c>
      <c r="B8" s="447"/>
      <c r="C8" s="447"/>
      <c r="D8" s="447"/>
      <c r="E8" s="447"/>
      <c r="F8" s="447"/>
      <c r="G8" s="447"/>
    </row>
    <row r="9" spans="1:30" ht="27.75" customHeight="1"/>
    <row r="10" spans="1:30" ht="30.75" customHeight="1">
      <c r="A10" s="446" t="str">
        <f>"   페블테크 지반보강공법에 의한 지반보강 후 지내력 검토결과 페블테크 "&amp;입력!B16&amp;"mm + PETMAT "&amp;입력!C16&amp;"겹 적용시"</f>
        <v xml:space="preserve">   페블테크 지반보강공법에 의한 지반보강 후 지내력 검토결과 페블테크 500mm + PETMAT 1겹 적용시</v>
      </c>
      <c r="B10" s="446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</row>
    <row r="11" spans="1:30" ht="27.75" customHeight="1"/>
    <row r="12" spans="1:30" ht="30.75" customHeight="1">
      <c r="A12" s="715"/>
      <c r="B12" s="446" t="str">
        <f>"설계하중 "&amp;입력!B17&amp;"kN/m에 대하여 안전성을 확보하고 있는 것으로 검토되었음."</f>
        <v>설계하중 150kN/m에 대하여 안전성을 확보하고 있는 것으로 검토되었음.</v>
      </c>
      <c r="D12" s="715"/>
      <c r="E12" s="715"/>
      <c r="F12" s="715"/>
      <c r="G12" s="715"/>
      <c r="H12" s="715"/>
      <c r="I12" s="715"/>
      <c r="J12" s="715"/>
      <c r="K12" s="715"/>
      <c r="L12" s="715"/>
      <c r="M12" s="715"/>
      <c r="N12" s="715"/>
      <c r="O12" s="715"/>
      <c r="P12" s="715"/>
      <c r="Q12" s="715"/>
      <c r="R12" s="715"/>
      <c r="S12" s="715"/>
      <c r="T12" s="715"/>
      <c r="U12" s="715"/>
      <c r="V12" s="715"/>
      <c r="W12" s="715"/>
      <c r="X12" s="715"/>
      <c r="Y12" s="715"/>
      <c r="Z12" s="715"/>
      <c r="AA12" s="715"/>
      <c r="AB12" s="715"/>
      <c r="AC12" s="715"/>
      <c r="AD12" s="715"/>
    </row>
    <row r="13" spans="1:30" ht="60" customHeight="1">
      <c r="A13" s="445"/>
      <c r="B13" s="445"/>
      <c r="C13" s="445"/>
      <c r="D13" s="445"/>
      <c r="E13" s="445"/>
      <c r="F13" s="445"/>
      <c r="G13" s="445"/>
      <c r="H13" s="445"/>
      <c r="I13" s="445"/>
      <c r="J13" s="445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  <c r="W13" s="445"/>
      <c r="X13" s="445"/>
      <c r="Y13" s="445"/>
      <c r="Z13" s="445"/>
      <c r="AA13" s="445"/>
      <c r="AB13" s="445"/>
      <c r="AC13" s="445"/>
      <c r="AD13" s="445"/>
    </row>
    <row r="14" spans="1:30" ht="59.25" customHeight="1">
      <c r="A14" s="821" t="str">
        <f ca="1">제출문!A26</f>
        <v>2025-08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821"/>
      <c r="O14" s="821"/>
      <c r="P14" s="821"/>
      <c r="Q14" s="821"/>
      <c r="R14" s="821"/>
      <c r="S14" s="821"/>
      <c r="T14" s="821"/>
      <c r="U14" s="821"/>
      <c r="V14" s="821"/>
      <c r="W14" s="821"/>
      <c r="X14" s="821"/>
      <c r="Y14" s="821"/>
      <c r="Z14" s="821"/>
      <c r="AA14" s="821"/>
      <c r="AB14" s="821"/>
      <c r="AC14" s="821"/>
      <c r="AD14" s="754"/>
    </row>
    <row r="15" spans="1:30" ht="16.5" customHeight="1">
      <c r="A15" s="445"/>
      <c r="B15" s="445"/>
      <c r="C15" s="445"/>
      <c r="D15" s="445"/>
      <c r="E15" s="445"/>
      <c r="F15" s="445"/>
      <c r="G15" s="445"/>
      <c r="H15" s="445"/>
    </row>
    <row r="16" spans="1:30" ht="25.5" customHeight="1"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820" t="s">
        <v>457</v>
      </c>
      <c r="V16" s="820"/>
      <c r="W16" s="820"/>
      <c r="X16" s="820"/>
      <c r="Y16" s="820"/>
      <c r="Z16" s="820"/>
      <c r="AA16" s="820"/>
      <c r="AB16" s="820"/>
      <c r="AC16" s="448"/>
      <c r="AD16" s="448"/>
    </row>
    <row r="17" spans="2:30" ht="25.5" customHeight="1">
      <c r="B17" s="449"/>
      <c r="C17" s="449"/>
      <c r="D17" s="449"/>
      <c r="E17" s="449"/>
      <c r="F17" s="449"/>
      <c r="G17" s="449"/>
      <c r="H17" s="449"/>
      <c r="I17" s="449"/>
      <c r="J17" s="449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820" t="s">
        <v>458</v>
      </c>
      <c r="V17" s="820"/>
      <c r="W17" s="820"/>
      <c r="X17" s="820"/>
      <c r="Y17" s="820"/>
      <c r="Z17" s="820"/>
      <c r="AA17" s="820"/>
      <c r="AB17" s="820"/>
      <c r="AC17" s="449"/>
      <c r="AD17" s="449"/>
    </row>
    <row r="18" spans="2:30" ht="51" customHeight="1"/>
  </sheetData>
  <mergeCells count="4">
    <mergeCell ref="U16:AB16"/>
    <mergeCell ref="U17:AB17"/>
    <mergeCell ref="A1:AC1"/>
    <mergeCell ref="A14:AC14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 xml:space="preserve">&amp;C&amp;K01+030본문서는 (주)지반디자인앤솔루션의 고유한 자산입니다.&amp;R&amp;"-,굵게"&amp;9&amp;K01+024(주)지반디자인앤솔루션 
기업부설 연구소 
</oddHeader>
    <oddFooter>&amp;L&amp;"-,굵게"&amp;9&amp;K01+044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colBreaks count="1" manualBreakCount="1">
    <brk id="3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9B6D-9909-4CC9-9874-F4BE020CA34C}">
  <sheetPr>
    <tabColor rgb="FF00B0F0"/>
  </sheetPr>
  <dimension ref="A1"/>
  <sheetViews>
    <sheetView view="pageBreakPreview" zoomScaleNormal="100" zoomScaleSheetLayoutView="100" zoomScalePageLayoutView="130" workbookViewId="0">
      <selection activeCell="M11" sqref="M11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r:id="rId1"/>
  <headerFooter>
    <oddHeader xml:space="preserve">&amp;C&amp;9&amp;K01+044본문서는 (주)지반디자인앤솔루션의 고유한 자산입니다.&amp;R&amp;9&amp;K01+045(주)지반디자인앤솔루션 
기업부설 연구소 
</oddHeader>
    <oddFooter>&amp;L&amp;9&amp;K01+049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3A3F-CDE5-4D0F-88E5-84F4373C8F81}">
  <sheetPr>
    <tabColor rgb="FF00B0F0"/>
  </sheetPr>
  <dimension ref="A1:AC32"/>
  <sheetViews>
    <sheetView view="pageBreakPreview" zoomScaleNormal="100" zoomScaleSheetLayoutView="100" zoomScalePageLayoutView="145" workbookViewId="0">
      <selection activeCell="G11" sqref="G11:AB11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30" customHeight="1">
      <c r="A1" s="806"/>
      <c r="B1" s="806"/>
      <c r="C1" s="806"/>
      <c r="D1" s="806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</row>
    <row r="2" spans="1:29" ht="20.2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808">
        <f ca="1">입력!B5</f>
        <v>45870</v>
      </c>
      <c r="W2" s="808"/>
      <c r="X2" s="808"/>
      <c r="Y2" s="808"/>
      <c r="Z2" s="808"/>
      <c r="AA2" s="808"/>
      <c r="AB2" s="808"/>
      <c r="AC2" s="808"/>
    </row>
    <row r="3" spans="1:29" ht="21" customHeight="1">
      <c r="A3" s="404" t="s">
        <v>430</v>
      </c>
      <c r="B3" s="404" t="s">
        <v>431</v>
      </c>
      <c r="C3" s="426"/>
      <c r="D3" s="426"/>
      <c r="E3" s="427"/>
      <c r="F3" s="428" t="str">
        <f>입력!B4</f>
        <v>전북 전주시 완산구 상림동 596 다세대주택 신축공사</v>
      </c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</row>
    <row r="4" spans="1:29" ht="21" customHeight="1">
      <c r="A4" s="404" t="s">
        <v>430</v>
      </c>
      <c r="B4" s="404" t="s">
        <v>432</v>
      </c>
      <c r="C4" s="426"/>
      <c r="D4" s="426"/>
      <c r="E4" s="427"/>
      <c r="F4" s="429" t="s">
        <v>433</v>
      </c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</row>
    <row r="5" spans="1:29" ht="21" customHeight="1">
      <c r="A5" s="404" t="s">
        <v>434</v>
      </c>
      <c r="B5" s="404" t="s">
        <v>435</v>
      </c>
      <c r="C5" s="426"/>
      <c r="D5" s="426"/>
      <c r="E5" s="427"/>
      <c r="F5" s="429" t="s">
        <v>459</v>
      </c>
      <c r="G5" s="427"/>
      <c r="H5" s="427"/>
      <c r="I5" s="427"/>
      <c r="J5" s="427"/>
      <c r="K5" s="427"/>
      <c r="L5" s="427"/>
      <c r="M5" s="2"/>
      <c r="N5" s="2"/>
      <c r="O5" s="2"/>
      <c r="P5" s="430"/>
      <c r="Q5" s="2"/>
      <c r="R5" s="2"/>
      <c r="S5" s="2"/>
      <c r="T5" s="2"/>
      <c r="U5" s="2"/>
      <c r="V5" s="2"/>
      <c r="W5" s="845"/>
      <c r="X5" s="846"/>
      <c r="Y5" s="846"/>
      <c r="Z5" s="2"/>
      <c r="AA5" s="2"/>
      <c r="AB5" s="2"/>
      <c r="AC5" s="2"/>
    </row>
    <row r="6" spans="1:29" ht="9" customHeight="1">
      <c r="C6" s="430"/>
      <c r="D6" s="2"/>
      <c r="E6" s="2"/>
      <c r="F6" s="2"/>
      <c r="G6" s="2"/>
      <c r="H6" s="2"/>
      <c r="I6" s="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  <c r="AA6" s="432"/>
      <c r="AB6" s="432"/>
      <c r="AC6" s="432"/>
    </row>
    <row r="7" spans="1:29" ht="16.5" customHeight="1">
      <c r="B7" s="3" t="s">
        <v>460</v>
      </c>
      <c r="C7" s="430"/>
      <c r="D7" s="430"/>
      <c r="E7" s="430"/>
      <c r="F7" s="430"/>
      <c r="G7" s="430"/>
      <c r="H7" s="430"/>
      <c r="I7" s="430"/>
      <c r="J7" s="430"/>
      <c r="K7" s="2"/>
      <c r="L7" s="430"/>
      <c r="M7" s="430"/>
      <c r="N7" s="430"/>
      <c r="O7" s="430"/>
      <c r="P7" s="430"/>
      <c r="R7" s="2"/>
      <c r="S7" s="2"/>
      <c r="T7" s="2"/>
      <c r="U7" s="2"/>
      <c r="V7" s="2"/>
      <c r="W7" s="2"/>
      <c r="X7" s="2"/>
      <c r="Y7" s="77"/>
      <c r="Z7" s="2"/>
      <c r="AA7" s="2"/>
      <c r="AB7" s="433"/>
      <c r="AC7" s="433"/>
    </row>
    <row r="8" spans="1:29" ht="10.5" customHeight="1">
      <c r="C8" s="430"/>
      <c r="D8" s="430"/>
      <c r="E8" s="430"/>
      <c r="F8" s="430"/>
      <c r="G8" s="430"/>
      <c r="H8" s="430"/>
      <c r="I8" s="430"/>
      <c r="J8" s="430"/>
      <c r="K8" s="2"/>
      <c r="L8" s="430"/>
      <c r="M8" s="430"/>
      <c r="N8" s="430"/>
      <c r="O8" s="430"/>
      <c r="P8" s="430"/>
      <c r="R8" s="2"/>
      <c r="S8" s="2"/>
      <c r="T8" s="2"/>
      <c r="U8" s="2"/>
      <c r="V8" s="2"/>
      <c r="W8" s="2"/>
      <c r="X8" s="2"/>
      <c r="Y8" s="77"/>
      <c r="Z8" s="2"/>
      <c r="AA8" s="2"/>
      <c r="AB8" s="433"/>
      <c r="AC8" s="433"/>
    </row>
    <row r="9" spans="1:29" ht="21.95" customHeight="1">
      <c r="B9" s="809" t="s">
        <v>438</v>
      </c>
      <c r="C9" s="810"/>
      <c r="D9" s="810"/>
      <c r="E9" s="810"/>
      <c r="F9" s="810"/>
      <c r="G9" s="811" t="str">
        <f>검토서갑지!G9</f>
        <v xml:space="preserve">- 지상 150 kN/㎡ </v>
      </c>
      <c r="H9" s="811"/>
      <c r="I9" s="811"/>
      <c r="J9" s="811"/>
      <c r="K9" s="811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  <c r="AA9" s="811"/>
      <c r="AB9" s="812"/>
    </row>
    <row r="10" spans="1:29" ht="21.95" customHeight="1">
      <c r="B10" s="813" t="s">
        <v>439</v>
      </c>
      <c r="C10" s="814"/>
      <c r="D10" s="814"/>
      <c r="E10" s="814"/>
      <c r="F10" s="814"/>
      <c r="G10" s="842" t="str">
        <f>검토서갑지!G10</f>
        <v>- N값 4/30~ 8/30의 실트질 모래</v>
      </c>
      <c r="H10" s="843"/>
      <c r="I10" s="843"/>
      <c r="J10" s="843"/>
      <c r="K10" s="843"/>
      <c r="L10" s="843"/>
      <c r="M10" s="843"/>
      <c r="N10" s="843"/>
      <c r="O10" s="843"/>
      <c r="P10" s="843"/>
      <c r="Q10" s="843"/>
      <c r="R10" s="843"/>
      <c r="S10" s="843"/>
      <c r="T10" s="843"/>
      <c r="U10" s="843"/>
      <c r="V10" s="843"/>
      <c r="W10" s="843"/>
      <c r="X10" s="843"/>
      <c r="Y10" s="843"/>
      <c r="Z10" s="843"/>
      <c r="AA10" s="843"/>
      <c r="AB10" s="844"/>
    </row>
    <row r="11" spans="1:29" ht="21.95" customHeight="1">
      <c r="B11" s="797" t="s">
        <v>440</v>
      </c>
      <c r="C11" s="798"/>
      <c r="D11" s="798"/>
      <c r="E11" s="798"/>
      <c r="F11" s="798"/>
      <c r="G11" s="799" t="str">
        <f>검토서갑지!G11</f>
        <v>- 지상4층</v>
      </c>
      <c r="H11" s="799"/>
      <c r="I11" s="799"/>
      <c r="J11" s="799"/>
      <c r="K11" s="799"/>
      <c r="L11" s="799"/>
      <c r="M11" s="799"/>
      <c r="N11" s="799"/>
      <c r="O11" s="799"/>
      <c r="P11" s="799"/>
      <c r="Q11" s="799"/>
      <c r="R11" s="799"/>
      <c r="S11" s="799"/>
      <c r="T11" s="799"/>
      <c r="U11" s="799"/>
      <c r="V11" s="799"/>
      <c r="W11" s="799"/>
      <c r="X11" s="799"/>
      <c r="Y11" s="799"/>
      <c r="Z11" s="799"/>
      <c r="AA11" s="799"/>
      <c r="AB11" s="800"/>
    </row>
    <row r="12" spans="1:29" ht="8.25" customHeight="1"/>
    <row r="13" spans="1:29" ht="18.75" customHeight="1">
      <c r="A13" s="434" t="s">
        <v>441</v>
      </c>
      <c r="B13" s="428" t="s">
        <v>461</v>
      </c>
      <c r="C13" s="428"/>
      <c r="D13" s="428"/>
    </row>
    <row r="14" spans="1:29" ht="24" customHeight="1">
      <c r="B14" s="801" t="s">
        <v>462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 t="s">
        <v>463</v>
      </c>
      <c r="Q14" s="802"/>
      <c r="R14" s="802"/>
      <c r="S14" s="802"/>
      <c r="T14" s="802"/>
      <c r="U14" s="802"/>
      <c r="V14" s="802"/>
      <c r="W14" s="802"/>
      <c r="X14" s="802"/>
      <c r="Y14" s="802"/>
      <c r="Z14" s="802"/>
      <c r="AA14" s="802"/>
      <c r="AB14" s="803"/>
    </row>
    <row r="15" spans="1:29" ht="153.75" customHeight="1">
      <c r="B15" s="841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4"/>
      <c r="N15" s="804"/>
      <c r="O15" s="804"/>
      <c r="P15" s="804"/>
      <c r="Q15" s="804"/>
      <c r="R15" s="804"/>
      <c r="S15" s="804"/>
      <c r="T15" s="804"/>
      <c r="U15" s="804"/>
      <c r="V15" s="804"/>
      <c r="W15" s="804"/>
      <c r="X15" s="804"/>
      <c r="Y15" s="804"/>
      <c r="Z15" s="804"/>
      <c r="AA15" s="804"/>
      <c r="AB15" s="805"/>
    </row>
    <row r="16" spans="1:29" ht="9" customHeight="1"/>
    <row r="17" spans="2:28" ht="21" customHeight="1">
      <c r="B17" s="834" t="s">
        <v>464</v>
      </c>
      <c r="C17" s="835"/>
      <c r="D17" s="835"/>
      <c r="E17" s="835"/>
      <c r="F17" s="835" t="s">
        <v>465</v>
      </c>
      <c r="G17" s="835"/>
      <c r="H17" s="835"/>
      <c r="I17" s="835"/>
      <c r="J17" s="835"/>
      <c r="K17" s="835" t="s">
        <v>466</v>
      </c>
      <c r="L17" s="835"/>
      <c r="M17" s="835"/>
      <c r="N17" s="835"/>
      <c r="O17" s="835"/>
      <c r="P17" s="835"/>
      <c r="Q17" s="835"/>
      <c r="R17" s="835"/>
      <c r="S17" s="835"/>
      <c r="T17" s="835"/>
      <c r="U17" s="835"/>
      <c r="V17" s="835"/>
      <c r="W17" s="835"/>
      <c r="X17" s="835" t="s">
        <v>467</v>
      </c>
      <c r="Y17" s="835"/>
      <c r="Z17" s="835"/>
      <c r="AA17" s="835"/>
      <c r="AB17" s="836"/>
    </row>
    <row r="18" spans="2:28" ht="21.75" customHeight="1">
      <c r="B18" s="824" t="str">
        <f>+입력!A20</f>
        <v>매립층</v>
      </c>
      <c r="C18" s="825"/>
      <c r="D18" s="825"/>
      <c r="E18" s="825"/>
      <c r="F18" s="825">
        <f>+입력!B20</f>
        <v>0</v>
      </c>
      <c r="G18" s="826"/>
      <c r="H18" s="450" t="s">
        <v>35</v>
      </c>
      <c r="I18" s="824">
        <f>+입력!C20</f>
        <v>3.5</v>
      </c>
      <c r="J18" s="825"/>
      <c r="K18" s="827" t="str">
        <f>+입력!E20</f>
        <v>실트질 모래</v>
      </c>
      <c r="L18" s="828"/>
      <c r="M18" s="828"/>
      <c r="N18" s="828"/>
      <c r="O18" s="828"/>
      <c r="P18" s="828"/>
      <c r="Q18" s="828"/>
      <c r="R18" s="828"/>
      <c r="S18" s="828"/>
      <c r="T18" s="828"/>
      <c r="U18" s="828"/>
      <c r="V18" s="828"/>
      <c r="W18" s="828"/>
      <c r="X18" s="822">
        <f>+입력!G20</f>
        <v>4</v>
      </c>
      <c r="Y18" s="823"/>
      <c r="Z18" s="450" t="s">
        <v>35</v>
      </c>
      <c r="AA18" s="822">
        <f>+입력!H20</f>
        <v>8</v>
      </c>
      <c r="AB18" s="823"/>
    </row>
    <row r="19" spans="2:28" ht="21.75" customHeight="1">
      <c r="B19" s="824" t="str">
        <f>+입력!A21</f>
        <v>퇴적층</v>
      </c>
      <c r="C19" s="825"/>
      <c r="D19" s="825"/>
      <c r="E19" s="825"/>
      <c r="F19" s="825">
        <f>+입력!B21</f>
        <v>3.5</v>
      </c>
      <c r="G19" s="826"/>
      <c r="H19" s="451" t="s">
        <v>35</v>
      </c>
      <c r="I19" s="824">
        <f>+입력!C21</f>
        <v>6.7</v>
      </c>
      <c r="J19" s="825"/>
      <c r="K19" s="827" t="str">
        <f>+입력!E21</f>
        <v>실트질 모래</v>
      </c>
      <c r="L19" s="828"/>
      <c r="M19" s="828"/>
      <c r="N19" s="828"/>
      <c r="O19" s="828"/>
      <c r="P19" s="828"/>
      <c r="Q19" s="828"/>
      <c r="R19" s="828"/>
      <c r="S19" s="828"/>
      <c r="T19" s="828"/>
      <c r="U19" s="828"/>
      <c r="V19" s="828"/>
      <c r="W19" s="828"/>
      <c r="X19" s="822">
        <f>+입력!G21</f>
        <v>4</v>
      </c>
      <c r="Y19" s="823"/>
      <c r="Z19" s="451" t="s">
        <v>35</v>
      </c>
      <c r="AA19" s="822">
        <f>+입력!H21</f>
        <v>11</v>
      </c>
      <c r="AB19" s="823"/>
    </row>
    <row r="20" spans="2:28" ht="21.75" customHeight="1">
      <c r="B20" s="824" t="str">
        <f>+입력!A22</f>
        <v>풍화암</v>
      </c>
      <c r="C20" s="825"/>
      <c r="D20" s="825"/>
      <c r="E20" s="825"/>
      <c r="F20" s="825">
        <f>+입력!B22</f>
        <v>6.7</v>
      </c>
      <c r="G20" s="826"/>
      <c r="H20" s="451" t="s">
        <v>35</v>
      </c>
      <c r="I20" s="824">
        <f>+입력!C22</f>
        <v>15</v>
      </c>
      <c r="J20" s="825"/>
      <c r="K20" s="827"/>
      <c r="L20" s="828"/>
      <c r="M20" s="828"/>
      <c r="N20" s="828"/>
      <c r="O20" s="828"/>
      <c r="P20" s="828"/>
      <c r="Q20" s="828"/>
      <c r="R20" s="828"/>
      <c r="S20" s="828"/>
      <c r="T20" s="828"/>
      <c r="U20" s="828"/>
      <c r="V20" s="828"/>
      <c r="W20" s="828"/>
      <c r="X20" s="822" t="str">
        <f>+입력!G22</f>
        <v>50/7</v>
      </c>
      <c r="Y20" s="823"/>
      <c r="Z20" s="451" t="s">
        <v>35</v>
      </c>
      <c r="AA20" s="822" t="str">
        <f>+입력!H22</f>
        <v>50/2</v>
      </c>
      <c r="AB20" s="823"/>
    </row>
    <row r="21" spans="2:28" ht="21.75" customHeight="1">
      <c r="B21" s="824"/>
      <c r="C21" s="825"/>
      <c r="D21" s="825"/>
      <c r="E21" s="825"/>
      <c r="F21" s="825"/>
      <c r="G21" s="826"/>
      <c r="H21" s="451"/>
      <c r="I21" s="824"/>
      <c r="J21" s="825"/>
      <c r="K21" s="827"/>
      <c r="L21" s="828"/>
      <c r="M21" s="828"/>
      <c r="N21" s="828"/>
      <c r="O21" s="828"/>
      <c r="P21" s="828"/>
      <c r="Q21" s="828"/>
      <c r="R21" s="828"/>
      <c r="S21" s="828"/>
      <c r="T21" s="828"/>
      <c r="U21" s="828"/>
      <c r="V21" s="828"/>
      <c r="W21" s="828"/>
      <c r="X21" s="822"/>
      <c r="Y21" s="823"/>
      <c r="Z21" s="451"/>
      <c r="AA21" s="822"/>
      <c r="AB21" s="823"/>
    </row>
    <row r="22" spans="2:28" ht="21.75" customHeight="1">
      <c r="B22" s="824"/>
      <c r="C22" s="825"/>
      <c r="D22" s="825"/>
      <c r="E22" s="825"/>
      <c r="F22" s="825"/>
      <c r="G22" s="826"/>
      <c r="H22" s="451"/>
      <c r="I22" s="824"/>
      <c r="J22" s="825"/>
      <c r="K22" s="828"/>
      <c r="L22" s="828"/>
      <c r="M22" s="828"/>
      <c r="N22" s="828"/>
      <c r="O22" s="828"/>
      <c r="P22" s="828"/>
      <c r="Q22" s="828"/>
      <c r="R22" s="828"/>
      <c r="S22" s="828"/>
      <c r="T22" s="828"/>
      <c r="U22" s="828"/>
      <c r="V22" s="828"/>
      <c r="W22" s="828"/>
      <c r="X22" s="822"/>
      <c r="Y22" s="823"/>
      <c r="Z22" s="451"/>
      <c r="AA22" s="822"/>
      <c r="AB22" s="823"/>
    </row>
    <row r="23" spans="2:28" ht="21.75" customHeight="1">
      <c r="B23" s="839"/>
      <c r="C23" s="828"/>
      <c r="D23" s="828"/>
      <c r="E23" s="828"/>
      <c r="F23" s="828"/>
      <c r="G23" s="840"/>
      <c r="H23" s="451"/>
      <c r="I23" s="839"/>
      <c r="J23" s="828"/>
      <c r="K23" s="827"/>
      <c r="L23" s="828"/>
      <c r="M23" s="828"/>
      <c r="N23" s="828"/>
      <c r="O23" s="828"/>
      <c r="P23" s="828"/>
      <c r="Q23" s="828"/>
      <c r="R23" s="828"/>
      <c r="S23" s="828"/>
      <c r="T23" s="828"/>
      <c r="U23" s="828"/>
      <c r="V23" s="828"/>
      <c r="W23" s="828"/>
      <c r="X23" s="837"/>
      <c r="Y23" s="838"/>
      <c r="Z23" s="451"/>
      <c r="AA23" s="837"/>
      <c r="AB23" s="838"/>
    </row>
    <row r="24" spans="2:28" ht="16.5" customHeight="1">
      <c r="B24" s="833"/>
      <c r="C24" s="833"/>
      <c r="D24" s="833"/>
      <c r="E24" s="833"/>
      <c r="F24" s="833"/>
      <c r="G24" s="833"/>
      <c r="H24" s="833"/>
      <c r="I24" s="833"/>
      <c r="J24" s="833"/>
      <c r="K24" s="833"/>
      <c r="L24" s="833"/>
      <c r="M24" s="833"/>
      <c r="N24" s="833"/>
      <c r="O24" s="833"/>
      <c r="P24" s="833"/>
      <c r="Q24" s="833"/>
      <c r="R24" s="833"/>
      <c r="S24" s="833"/>
      <c r="T24" s="833"/>
      <c r="U24" s="833"/>
      <c r="V24" s="833"/>
      <c r="W24" s="833"/>
      <c r="X24" s="833"/>
      <c r="Y24" s="833"/>
      <c r="Z24" s="833"/>
      <c r="AA24" s="833"/>
      <c r="AB24" s="833"/>
    </row>
    <row r="25" spans="2:28" ht="19.5" customHeight="1">
      <c r="B25" s="428" t="s">
        <v>468</v>
      </c>
    </row>
    <row r="26" spans="2:28" ht="19.5" customHeight="1">
      <c r="B26" s="834" t="s">
        <v>469</v>
      </c>
      <c r="C26" s="835"/>
      <c r="D26" s="835"/>
      <c r="E26" s="835"/>
      <c r="F26" s="835"/>
      <c r="G26" s="835"/>
      <c r="H26" s="835"/>
      <c r="I26" s="835" t="s">
        <v>470</v>
      </c>
      <c r="J26" s="835"/>
      <c r="K26" s="835"/>
      <c r="L26" s="835"/>
      <c r="M26" s="835"/>
      <c r="N26" s="835" t="s">
        <v>471</v>
      </c>
      <c r="O26" s="835"/>
      <c r="P26" s="835"/>
      <c r="Q26" s="835"/>
      <c r="R26" s="835"/>
      <c r="S26" s="835" t="s">
        <v>472</v>
      </c>
      <c r="T26" s="835"/>
      <c r="U26" s="835"/>
      <c r="V26" s="835"/>
      <c r="W26" s="835"/>
      <c r="X26" s="835" t="s">
        <v>473</v>
      </c>
      <c r="Y26" s="835"/>
      <c r="Z26" s="835"/>
      <c r="AA26" s="835"/>
      <c r="AB26" s="836"/>
    </row>
    <row r="27" spans="2:28" ht="19.5" customHeight="1">
      <c r="B27" s="824" t="str">
        <f>+입력!A20</f>
        <v>매립층</v>
      </c>
      <c r="C27" s="825"/>
      <c r="D27" s="825"/>
      <c r="E27" s="825"/>
      <c r="F27" s="825"/>
      <c r="G27" s="825"/>
      <c r="H27" s="825"/>
      <c r="I27" s="831">
        <f>+지상1층!K14</f>
        <v>18</v>
      </c>
      <c r="J27" s="831"/>
      <c r="K27" s="831"/>
      <c r="L27" s="831"/>
      <c r="M27" s="831"/>
      <c r="N27" s="831">
        <f>+지상1층!N14</f>
        <v>0</v>
      </c>
      <c r="O27" s="831"/>
      <c r="P27" s="831"/>
      <c r="Q27" s="831"/>
      <c r="R27" s="831"/>
      <c r="S27" s="831">
        <f>+지상1층!P14</f>
        <v>21</v>
      </c>
      <c r="T27" s="831"/>
      <c r="U27" s="831"/>
      <c r="V27" s="831"/>
      <c r="W27" s="831"/>
      <c r="X27" s="831">
        <f>+지상1층!U14</f>
        <v>9500</v>
      </c>
      <c r="Y27" s="831"/>
      <c r="Z27" s="831"/>
      <c r="AA27" s="831"/>
      <c r="AB27" s="832"/>
    </row>
    <row r="28" spans="2:28" ht="19.5" customHeight="1">
      <c r="B28" s="824" t="str">
        <f>+입력!A21</f>
        <v>퇴적층</v>
      </c>
      <c r="C28" s="825"/>
      <c r="D28" s="825"/>
      <c r="E28" s="825"/>
      <c r="F28" s="825"/>
      <c r="G28" s="825"/>
      <c r="H28" s="825"/>
      <c r="I28" s="831">
        <f>+지상1층!K15</f>
        <v>18</v>
      </c>
      <c r="J28" s="831"/>
      <c r="K28" s="831"/>
      <c r="L28" s="831"/>
      <c r="M28" s="831"/>
      <c r="N28" s="831">
        <f>+지상1층!N15</f>
        <v>0</v>
      </c>
      <c r="O28" s="831"/>
      <c r="P28" s="831"/>
      <c r="Q28" s="831"/>
      <c r="R28" s="831"/>
      <c r="S28" s="831">
        <f>+지상1층!P15</f>
        <v>23</v>
      </c>
      <c r="T28" s="831"/>
      <c r="U28" s="831"/>
      <c r="V28" s="831"/>
      <c r="W28" s="831"/>
      <c r="X28" s="831">
        <f>+지상1층!U15</f>
        <v>10000</v>
      </c>
      <c r="Y28" s="831"/>
      <c r="Z28" s="831"/>
      <c r="AA28" s="831"/>
      <c r="AB28" s="832"/>
    </row>
    <row r="29" spans="2:28" ht="19.5" customHeight="1">
      <c r="B29" s="824" t="str">
        <f>+입력!A22</f>
        <v>풍화암</v>
      </c>
      <c r="C29" s="825"/>
      <c r="D29" s="825"/>
      <c r="E29" s="825"/>
      <c r="F29" s="825"/>
      <c r="G29" s="825"/>
      <c r="H29" s="825"/>
      <c r="I29" s="831">
        <f>+지상1층!K16</f>
        <v>20</v>
      </c>
      <c r="J29" s="831"/>
      <c r="K29" s="831"/>
      <c r="L29" s="831"/>
      <c r="M29" s="831"/>
      <c r="N29" s="831">
        <f>+지상1층!N16</f>
        <v>20</v>
      </c>
      <c r="O29" s="831"/>
      <c r="P29" s="831"/>
      <c r="Q29" s="831"/>
      <c r="R29" s="831"/>
      <c r="S29" s="831">
        <f>+지상1층!P16</f>
        <v>30</v>
      </c>
      <c r="T29" s="831"/>
      <c r="U29" s="831"/>
      <c r="V29" s="831"/>
      <c r="W29" s="831"/>
      <c r="X29" s="831">
        <f>+지상1층!U16</f>
        <v>700000.00000000012</v>
      </c>
      <c r="Y29" s="831"/>
      <c r="Z29" s="831"/>
      <c r="AA29" s="831"/>
      <c r="AB29" s="832"/>
    </row>
    <row r="30" spans="2:28" ht="19.5" customHeight="1">
      <c r="B30" s="824"/>
      <c r="C30" s="825"/>
      <c r="D30" s="825"/>
      <c r="E30" s="825"/>
      <c r="F30" s="825"/>
      <c r="G30" s="825"/>
      <c r="H30" s="825"/>
      <c r="I30" s="831"/>
      <c r="J30" s="831"/>
      <c r="K30" s="831"/>
      <c r="L30" s="831"/>
      <c r="M30" s="831"/>
      <c r="N30" s="831"/>
      <c r="O30" s="831"/>
      <c r="P30" s="831"/>
      <c r="Q30" s="831"/>
      <c r="R30" s="831"/>
      <c r="S30" s="831"/>
      <c r="T30" s="831"/>
      <c r="U30" s="831"/>
      <c r="V30" s="831"/>
      <c r="W30" s="831"/>
      <c r="X30" s="831"/>
      <c r="Y30" s="831"/>
      <c r="Z30" s="831"/>
      <c r="AA30" s="831"/>
      <c r="AB30" s="832"/>
    </row>
    <row r="31" spans="2:28" ht="20.25" customHeight="1">
      <c r="B31" s="794"/>
      <c r="C31" s="795"/>
      <c r="D31" s="795"/>
      <c r="E31" s="795"/>
      <c r="F31" s="795"/>
      <c r="G31" s="795"/>
      <c r="H31" s="795"/>
      <c r="I31" s="829"/>
      <c r="J31" s="829"/>
      <c r="K31" s="829"/>
      <c r="L31" s="829"/>
      <c r="M31" s="829"/>
      <c r="N31" s="829"/>
      <c r="O31" s="829"/>
      <c r="P31" s="829"/>
      <c r="Q31" s="829"/>
      <c r="R31" s="829"/>
      <c r="S31" s="829"/>
      <c r="T31" s="829"/>
      <c r="U31" s="829"/>
      <c r="V31" s="829"/>
      <c r="W31" s="829"/>
      <c r="X31" s="829"/>
      <c r="Y31" s="829"/>
      <c r="Z31" s="829"/>
      <c r="AA31" s="829"/>
      <c r="AB31" s="830"/>
    </row>
    <row r="32" spans="2:28" ht="20.25" customHeight="1">
      <c r="B32" s="716"/>
      <c r="C32" s="716"/>
      <c r="D32" s="716"/>
      <c r="E32" s="716"/>
      <c r="F32" s="716"/>
      <c r="G32" s="716"/>
      <c r="H32" s="716"/>
      <c r="I32" s="716"/>
      <c r="J32" s="716"/>
      <c r="K32" s="716"/>
      <c r="L32" s="716"/>
      <c r="M32" s="716"/>
      <c r="N32" s="716"/>
      <c r="O32" s="716"/>
      <c r="P32" s="716"/>
      <c r="Q32" s="716"/>
      <c r="R32" s="716"/>
      <c r="S32" s="716"/>
      <c r="T32" s="716"/>
      <c r="U32" s="716"/>
      <c r="V32" s="716"/>
      <c r="W32" s="716"/>
      <c r="X32" s="716"/>
      <c r="Y32" s="716"/>
      <c r="Z32" s="716"/>
      <c r="AA32" s="716"/>
      <c r="AB32" s="716"/>
    </row>
  </sheetData>
  <mergeCells count="84">
    <mergeCell ref="B30:H30"/>
    <mergeCell ref="I30:M30"/>
    <mergeCell ref="N30:R30"/>
    <mergeCell ref="S30:W30"/>
    <mergeCell ref="X30:AB30"/>
    <mergeCell ref="B10:F10"/>
    <mergeCell ref="G10:AB10"/>
    <mergeCell ref="A1:AC1"/>
    <mergeCell ref="V2:AC2"/>
    <mergeCell ref="W5:Y5"/>
    <mergeCell ref="B9:F9"/>
    <mergeCell ref="G9:AB9"/>
    <mergeCell ref="B11:F11"/>
    <mergeCell ref="G11:AB11"/>
    <mergeCell ref="B14:O14"/>
    <mergeCell ref="P14:AB14"/>
    <mergeCell ref="B15:O15"/>
    <mergeCell ref="P15:AB15"/>
    <mergeCell ref="B17:E17"/>
    <mergeCell ref="F17:J17"/>
    <mergeCell ref="K17:W17"/>
    <mergeCell ref="X17:AB17"/>
    <mergeCell ref="B18:E18"/>
    <mergeCell ref="F18:G18"/>
    <mergeCell ref="I18:J18"/>
    <mergeCell ref="K18:W18"/>
    <mergeCell ref="X18:Y18"/>
    <mergeCell ref="AA18:AB18"/>
    <mergeCell ref="AA20:AB20"/>
    <mergeCell ref="B19:E19"/>
    <mergeCell ref="F19:G19"/>
    <mergeCell ref="I19:J19"/>
    <mergeCell ref="K19:W19"/>
    <mergeCell ref="X19:Y19"/>
    <mergeCell ref="AA19:AB19"/>
    <mergeCell ref="B20:E20"/>
    <mergeCell ref="F20:G20"/>
    <mergeCell ref="I20:J20"/>
    <mergeCell ref="K20:W20"/>
    <mergeCell ref="X20:Y20"/>
    <mergeCell ref="AA23:AB23"/>
    <mergeCell ref="B22:E22"/>
    <mergeCell ref="F22:G22"/>
    <mergeCell ref="I22:J22"/>
    <mergeCell ref="K22:W22"/>
    <mergeCell ref="X22:Y22"/>
    <mergeCell ref="AA22:AB22"/>
    <mergeCell ref="B23:E23"/>
    <mergeCell ref="F23:G23"/>
    <mergeCell ref="I23:J23"/>
    <mergeCell ref="K23:W23"/>
    <mergeCell ref="X23:Y23"/>
    <mergeCell ref="B24:AB24"/>
    <mergeCell ref="B26:H26"/>
    <mergeCell ref="I26:M26"/>
    <mergeCell ref="N26:R26"/>
    <mergeCell ref="S26:W26"/>
    <mergeCell ref="X26:AB26"/>
    <mergeCell ref="B28:H28"/>
    <mergeCell ref="I28:M28"/>
    <mergeCell ref="N28:R28"/>
    <mergeCell ref="S28:W28"/>
    <mergeCell ref="X28:AB28"/>
    <mergeCell ref="B27:H27"/>
    <mergeCell ref="I27:M27"/>
    <mergeCell ref="N27:R27"/>
    <mergeCell ref="S27:W27"/>
    <mergeCell ref="X27:AB27"/>
    <mergeCell ref="B29:H29"/>
    <mergeCell ref="I29:M29"/>
    <mergeCell ref="N29:R29"/>
    <mergeCell ref="S29:W29"/>
    <mergeCell ref="X29:AB29"/>
    <mergeCell ref="X31:AB31"/>
    <mergeCell ref="S31:W31"/>
    <mergeCell ref="N31:R31"/>
    <mergeCell ref="I31:M31"/>
    <mergeCell ref="B31:H31"/>
    <mergeCell ref="AA21:AB21"/>
    <mergeCell ref="B21:E21"/>
    <mergeCell ref="F21:G21"/>
    <mergeCell ref="I21:J21"/>
    <mergeCell ref="K21:W21"/>
    <mergeCell ref="X21:Y21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4" fitToHeight="0" orientation="portrait" r:id="rId1"/>
  <headerFooter>
    <oddHeader>&amp;C&amp;K01+043본문서는 (주)지반디자인앤솔루션의 고유한 자산입니다.&amp;R&amp;"-,굵게"&amp;9&amp;K01+037(주)지반디자인앤솔루션 
기업부설 연구소</oddHeader>
    <oddFooter>&amp;L&amp;"-,굵게"&amp;9&amp;K01+046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C8BE-3271-4943-8BC8-F2B25FC039CC}">
  <dimension ref="A1:CR698"/>
  <sheetViews>
    <sheetView tabSelected="1" view="pageBreakPreview" zoomScaleNormal="100" zoomScaleSheetLayoutView="100" workbookViewId="0">
      <pane ySplit="1" topLeftCell="A183" activePane="bottomLeft" state="frozen"/>
      <selection activeCell="E13" sqref="E13:G13"/>
      <selection pane="bottomLeft" activeCell="M11" sqref="M11"/>
    </sheetView>
  </sheetViews>
  <sheetFormatPr defaultColWidth="2.875" defaultRowHeight="15" customHeight="1"/>
  <cols>
    <col min="1" max="1" width="3.5" style="3" customWidth="1"/>
    <col min="2" max="2" width="4.375" style="3" customWidth="1"/>
    <col min="3" max="3" width="2.25" style="3" customWidth="1"/>
    <col min="4" max="4" width="4.375" style="3" customWidth="1"/>
    <col min="5" max="12" width="3.5" style="3" customWidth="1"/>
    <col min="13" max="13" width="4" style="3" customWidth="1"/>
    <col min="14" max="17" width="3.5" style="3" customWidth="1"/>
    <col min="18" max="18" width="4.375" style="3" customWidth="1"/>
    <col min="19" max="28" width="3.5" style="3" customWidth="1"/>
    <col min="29" max="29" width="4.125" style="3" customWidth="1"/>
    <col min="30" max="30" width="3.5" style="3" customWidth="1"/>
    <col min="31" max="31" width="4" style="3" bestFit="1" customWidth="1"/>
    <col min="32" max="32" width="6.25" style="3" customWidth="1"/>
    <col min="33" max="33" width="5.25" style="3" bestFit="1" customWidth="1"/>
    <col min="34" max="34" width="4.25" style="3" bestFit="1" customWidth="1"/>
    <col min="35" max="35" width="7.125" style="3" customWidth="1"/>
    <col min="36" max="36" width="7.625" style="3" customWidth="1"/>
    <col min="37" max="37" width="7.25" style="3" customWidth="1"/>
    <col min="38" max="38" width="7.125" style="3" customWidth="1"/>
    <col min="39" max="40" width="4.125" style="3" customWidth="1"/>
    <col min="41" max="41" width="5.125" style="3" customWidth="1"/>
    <col min="42" max="42" width="4.5" style="3" customWidth="1"/>
    <col min="43" max="43" width="4.625" style="3" customWidth="1"/>
    <col min="44" max="44" width="5.875" style="3" customWidth="1"/>
    <col min="45" max="49" width="3.625" style="3" customWidth="1"/>
    <col min="50" max="51" width="7.25" style="5" customWidth="1"/>
    <col min="52" max="52" width="4.625" style="3" customWidth="1"/>
    <col min="53" max="53" width="4.5" style="3" customWidth="1"/>
    <col min="54" max="54" width="3.625" style="3" customWidth="1"/>
    <col min="55" max="55" width="8" style="3" customWidth="1"/>
    <col min="56" max="56" width="4.875" style="3" customWidth="1"/>
    <col min="57" max="57" width="6.5" style="3" customWidth="1"/>
    <col min="58" max="58" width="1.375" style="3" customWidth="1"/>
    <col min="59" max="59" width="5" style="3" customWidth="1"/>
    <col min="60" max="62" width="2.875" style="3" customWidth="1"/>
    <col min="63" max="63" width="2.875" style="3"/>
    <col min="64" max="64" width="2.875" style="3" customWidth="1"/>
    <col min="65" max="69" width="4.875" style="3" customWidth="1"/>
    <col min="70" max="74" width="2.875" style="3"/>
    <col min="75" max="75" width="2.125" style="3" customWidth="1"/>
    <col min="76" max="76" width="2.625" style="3" customWidth="1"/>
    <col min="77" max="77" width="9" style="3" customWidth="1"/>
    <col min="78" max="82" width="2.875" style="3"/>
    <col min="83" max="83" width="7" style="3" customWidth="1"/>
    <col min="84" max="252" width="2.875" style="3"/>
    <col min="253" max="253" width="3.75" style="3" customWidth="1"/>
    <col min="254" max="265" width="2.875" style="3"/>
    <col min="266" max="266" width="8.75" style="3" bestFit="1" customWidth="1"/>
    <col min="267" max="274" width="2.875" style="3"/>
    <col min="275" max="275" width="8.25" style="3" bestFit="1" customWidth="1"/>
    <col min="276" max="276" width="8.75" style="3" bestFit="1" customWidth="1"/>
    <col min="277" max="277" width="7.5" style="3" bestFit="1" customWidth="1"/>
    <col min="278" max="508" width="2.875" style="3"/>
    <col min="509" max="509" width="3.75" style="3" customWidth="1"/>
    <col min="510" max="521" width="2.875" style="3"/>
    <col min="522" max="522" width="8.75" style="3" bestFit="1" customWidth="1"/>
    <col min="523" max="530" width="2.875" style="3"/>
    <col min="531" max="531" width="8.25" style="3" bestFit="1" customWidth="1"/>
    <col min="532" max="532" width="8.75" style="3" bestFit="1" customWidth="1"/>
    <col min="533" max="533" width="7.5" style="3" bestFit="1" customWidth="1"/>
    <col min="534" max="764" width="2.875" style="3"/>
    <col min="765" max="765" width="3.75" style="3" customWidth="1"/>
    <col min="766" max="777" width="2.875" style="3"/>
    <col min="778" max="778" width="8.75" style="3" bestFit="1" customWidth="1"/>
    <col min="779" max="786" width="2.875" style="3"/>
    <col min="787" max="787" width="8.25" style="3" bestFit="1" customWidth="1"/>
    <col min="788" max="788" width="8.75" style="3" bestFit="1" customWidth="1"/>
    <col min="789" max="789" width="7.5" style="3" bestFit="1" customWidth="1"/>
    <col min="790" max="1020" width="2.875" style="3"/>
    <col min="1021" max="1021" width="3.75" style="3" customWidth="1"/>
    <col min="1022" max="1033" width="2.875" style="3"/>
    <col min="1034" max="1034" width="8.75" style="3" bestFit="1" customWidth="1"/>
    <col min="1035" max="1042" width="2.875" style="3"/>
    <col min="1043" max="1043" width="8.25" style="3" bestFit="1" customWidth="1"/>
    <col min="1044" max="1044" width="8.75" style="3" bestFit="1" customWidth="1"/>
    <col min="1045" max="1045" width="7.5" style="3" bestFit="1" customWidth="1"/>
    <col min="1046" max="1276" width="2.875" style="3"/>
    <col min="1277" max="1277" width="3.75" style="3" customWidth="1"/>
    <col min="1278" max="1289" width="2.875" style="3"/>
    <col min="1290" max="1290" width="8.75" style="3" bestFit="1" customWidth="1"/>
    <col min="1291" max="1298" width="2.875" style="3"/>
    <col min="1299" max="1299" width="8.25" style="3" bestFit="1" customWidth="1"/>
    <col min="1300" max="1300" width="8.75" style="3" bestFit="1" customWidth="1"/>
    <col min="1301" max="1301" width="7.5" style="3" bestFit="1" customWidth="1"/>
    <col min="1302" max="1532" width="2.875" style="3"/>
    <col min="1533" max="1533" width="3.75" style="3" customWidth="1"/>
    <col min="1534" max="1545" width="2.875" style="3"/>
    <col min="1546" max="1546" width="8.75" style="3" bestFit="1" customWidth="1"/>
    <col min="1547" max="1554" width="2.875" style="3"/>
    <col min="1555" max="1555" width="8.25" style="3" bestFit="1" customWidth="1"/>
    <col min="1556" max="1556" width="8.75" style="3" bestFit="1" customWidth="1"/>
    <col min="1557" max="1557" width="7.5" style="3" bestFit="1" customWidth="1"/>
    <col min="1558" max="1788" width="2.875" style="3"/>
    <col min="1789" max="1789" width="3.75" style="3" customWidth="1"/>
    <col min="1790" max="1801" width="2.875" style="3"/>
    <col min="1802" max="1802" width="8.75" style="3" bestFit="1" customWidth="1"/>
    <col min="1803" max="1810" width="2.875" style="3"/>
    <col min="1811" max="1811" width="8.25" style="3" bestFit="1" customWidth="1"/>
    <col min="1812" max="1812" width="8.75" style="3" bestFit="1" customWidth="1"/>
    <col min="1813" max="1813" width="7.5" style="3" bestFit="1" customWidth="1"/>
    <col min="1814" max="2044" width="2.875" style="3"/>
    <col min="2045" max="2045" width="3.75" style="3" customWidth="1"/>
    <col min="2046" max="2057" width="2.875" style="3"/>
    <col min="2058" max="2058" width="8.75" style="3" bestFit="1" customWidth="1"/>
    <col min="2059" max="2066" width="2.875" style="3"/>
    <col min="2067" max="2067" width="8.25" style="3" bestFit="1" customWidth="1"/>
    <col min="2068" max="2068" width="8.75" style="3" bestFit="1" customWidth="1"/>
    <col min="2069" max="2069" width="7.5" style="3" bestFit="1" customWidth="1"/>
    <col min="2070" max="2300" width="2.875" style="3"/>
    <col min="2301" max="2301" width="3.75" style="3" customWidth="1"/>
    <col min="2302" max="2313" width="2.875" style="3"/>
    <col min="2314" max="2314" width="8.75" style="3" bestFit="1" customWidth="1"/>
    <col min="2315" max="2322" width="2.875" style="3"/>
    <col min="2323" max="2323" width="8.25" style="3" bestFit="1" customWidth="1"/>
    <col min="2324" max="2324" width="8.75" style="3" bestFit="1" customWidth="1"/>
    <col min="2325" max="2325" width="7.5" style="3" bestFit="1" customWidth="1"/>
    <col min="2326" max="2556" width="2.875" style="3"/>
    <col min="2557" max="2557" width="3.75" style="3" customWidth="1"/>
    <col min="2558" max="2569" width="2.875" style="3"/>
    <col min="2570" max="2570" width="8.75" style="3" bestFit="1" customWidth="1"/>
    <col min="2571" max="2578" width="2.875" style="3"/>
    <col min="2579" max="2579" width="8.25" style="3" bestFit="1" customWidth="1"/>
    <col min="2580" max="2580" width="8.75" style="3" bestFit="1" customWidth="1"/>
    <col min="2581" max="2581" width="7.5" style="3" bestFit="1" customWidth="1"/>
    <col min="2582" max="2812" width="2.875" style="3"/>
    <col min="2813" max="2813" width="3.75" style="3" customWidth="1"/>
    <col min="2814" max="2825" width="2.875" style="3"/>
    <col min="2826" max="2826" width="8.75" style="3" bestFit="1" customWidth="1"/>
    <col min="2827" max="2834" width="2.875" style="3"/>
    <col min="2835" max="2835" width="8.25" style="3" bestFit="1" customWidth="1"/>
    <col min="2836" max="2836" width="8.75" style="3" bestFit="1" customWidth="1"/>
    <col min="2837" max="2837" width="7.5" style="3" bestFit="1" customWidth="1"/>
    <col min="2838" max="3068" width="2.875" style="3"/>
    <col min="3069" max="3069" width="3.75" style="3" customWidth="1"/>
    <col min="3070" max="3081" width="2.875" style="3"/>
    <col min="3082" max="3082" width="8.75" style="3" bestFit="1" customWidth="1"/>
    <col min="3083" max="3090" width="2.875" style="3"/>
    <col min="3091" max="3091" width="8.25" style="3" bestFit="1" customWidth="1"/>
    <col min="3092" max="3092" width="8.75" style="3" bestFit="1" customWidth="1"/>
    <col min="3093" max="3093" width="7.5" style="3" bestFit="1" customWidth="1"/>
    <col min="3094" max="3324" width="2.875" style="3"/>
    <col min="3325" max="3325" width="3.75" style="3" customWidth="1"/>
    <col min="3326" max="3337" width="2.875" style="3"/>
    <col min="3338" max="3338" width="8.75" style="3" bestFit="1" customWidth="1"/>
    <col min="3339" max="3346" width="2.875" style="3"/>
    <col min="3347" max="3347" width="8.25" style="3" bestFit="1" customWidth="1"/>
    <col min="3348" max="3348" width="8.75" style="3" bestFit="1" customWidth="1"/>
    <col min="3349" max="3349" width="7.5" style="3" bestFit="1" customWidth="1"/>
    <col min="3350" max="3580" width="2.875" style="3"/>
    <col min="3581" max="3581" width="3.75" style="3" customWidth="1"/>
    <col min="3582" max="3593" width="2.875" style="3"/>
    <col min="3594" max="3594" width="8.75" style="3" bestFit="1" customWidth="1"/>
    <col min="3595" max="3602" width="2.875" style="3"/>
    <col min="3603" max="3603" width="8.25" style="3" bestFit="1" customWidth="1"/>
    <col min="3604" max="3604" width="8.75" style="3" bestFit="1" customWidth="1"/>
    <col min="3605" max="3605" width="7.5" style="3" bestFit="1" customWidth="1"/>
    <col min="3606" max="3836" width="2.875" style="3"/>
    <col min="3837" max="3837" width="3.75" style="3" customWidth="1"/>
    <col min="3838" max="3849" width="2.875" style="3"/>
    <col min="3850" max="3850" width="8.75" style="3" bestFit="1" customWidth="1"/>
    <col min="3851" max="3858" width="2.875" style="3"/>
    <col min="3859" max="3859" width="8.25" style="3" bestFit="1" customWidth="1"/>
    <col min="3860" max="3860" width="8.75" style="3" bestFit="1" customWidth="1"/>
    <col min="3861" max="3861" width="7.5" style="3" bestFit="1" customWidth="1"/>
    <col min="3862" max="4092" width="2.875" style="3"/>
    <col min="4093" max="4093" width="3.75" style="3" customWidth="1"/>
    <col min="4094" max="4105" width="2.875" style="3"/>
    <col min="4106" max="4106" width="8.75" style="3" bestFit="1" customWidth="1"/>
    <col min="4107" max="4114" width="2.875" style="3"/>
    <col min="4115" max="4115" width="8.25" style="3" bestFit="1" customWidth="1"/>
    <col min="4116" max="4116" width="8.75" style="3" bestFit="1" customWidth="1"/>
    <col min="4117" max="4117" width="7.5" style="3" bestFit="1" customWidth="1"/>
    <col min="4118" max="4348" width="2.875" style="3"/>
    <col min="4349" max="4349" width="3.75" style="3" customWidth="1"/>
    <col min="4350" max="4361" width="2.875" style="3"/>
    <col min="4362" max="4362" width="8.75" style="3" bestFit="1" customWidth="1"/>
    <col min="4363" max="4370" width="2.875" style="3"/>
    <col min="4371" max="4371" width="8.25" style="3" bestFit="1" customWidth="1"/>
    <col min="4372" max="4372" width="8.75" style="3" bestFit="1" customWidth="1"/>
    <col min="4373" max="4373" width="7.5" style="3" bestFit="1" customWidth="1"/>
    <col min="4374" max="4604" width="2.875" style="3"/>
    <col min="4605" max="4605" width="3.75" style="3" customWidth="1"/>
    <col min="4606" max="4617" width="2.875" style="3"/>
    <col min="4618" max="4618" width="8.75" style="3" bestFit="1" customWidth="1"/>
    <col min="4619" max="4626" width="2.875" style="3"/>
    <col min="4627" max="4627" width="8.25" style="3" bestFit="1" customWidth="1"/>
    <col min="4628" max="4628" width="8.75" style="3" bestFit="1" customWidth="1"/>
    <col min="4629" max="4629" width="7.5" style="3" bestFit="1" customWidth="1"/>
    <col min="4630" max="4860" width="2.875" style="3"/>
    <col min="4861" max="4861" width="3.75" style="3" customWidth="1"/>
    <col min="4862" max="4873" width="2.875" style="3"/>
    <col min="4874" max="4874" width="8.75" style="3" bestFit="1" customWidth="1"/>
    <col min="4875" max="4882" width="2.875" style="3"/>
    <col min="4883" max="4883" width="8.25" style="3" bestFit="1" customWidth="1"/>
    <col min="4884" max="4884" width="8.75" style="3" bestFit="1" customWidth="1"/>
    <col min="4885" max="4885" width="7.5" style="3" bestFit="1" customWidth="1"/>
    <col min="4886" max="5116" width="2.875" style="3"/>
    <col min="5117" max="5117" width="3.75" style="3" customWidth="1"/>
    <col min="5118" max="5129" width="2.875" style="3"/>
    <col min="5130" max="5130" width="8.75" style="3" bestFit="1" customWidth="1"/>
    <col min="5131" max="5138" width="2.875" style="3"/>
    <col min="5139" max="5139" width="8.25" style="3" bestFit="1" customWidth="1"/>
    <col min="5140" max="5140" width="8.75" style="3" bestFit="1" customWidth="1"/>
    <col min="5141" max="5141" width="7.5" style="3" bestFit="1" customWidth="1"/>
    <col min="5142" max="5372" width="2.875" style="3"/>
    <col min="5373" max="5373" width="3.75" style="3" customWidth="1"/>
    <col min="5374" max="5385" width="2.875" style="3"/>
    <col min="5386" max="5386" width="8.75" style="3" bestFit="1" customWidth="1"/>
    <col min="5387" max="5394" width="2.875" style="3"/>
    <col min="5395" max="5395" width="8.25" style="3" bestFit="1" customWidth="1"/>
    <col min="5396" max="5396" width="8.75" style="3" bestFit="1" customWidth="1"/>
    <col min="5397" max="5397" width="7.5" style="3" bestFit="1" customWidth="1"/>
    <col min="5398" max="5628" width="2.875" style="3"/>
    <col min="5629" max="5629" width="3.75" style="3" customWidth="1"/>
    <col min="5630" max="5641" width="2.875" style="3"/>
    <col min="5642" max="5642" width="8.75" style="3" bestFit="1" customWidth="1"/>
    <col min="5643" max="5650" width="2.875" style="3"/>
    <col min="5651" max="5651" width="8.25" style="3" bestFit="1" customWidth="1"/>
    <col min="5652" max="5652" width="8.75" style="3" bestFit="1" customWidth="1"/>
    <col min="5653" max="5653" width="7.5" style="3" bestFit="1" customWidth="1"/>
    <col min="5654" max="5884" width="2.875" style="3"/>
    <col min="5885" max="5885" width="3.75" style="3" customWidth="1"/>
    <col min="5886" max="5897" width="2.875" style="3"/>
    <col min="5898" max="5898" width="8.75" style="3" bestFit="1" customWidth="1"/>
    <col min="5899" max="5906" width="2.875" style="3"/>
    <col min="5907" max="5907" width="8.25" style="3" bestFit="1" customWidth="1"/>
    <col min="5908" max="5908" width="8.75" style="3" bestFit="1" customWidth="1"/>
    <col min="5909" max="5909" width="7.5" style="3" bestFit="1" customWidth="1"/>
    <col min="5910" max="6140" width="2.875" style="3"/>
    <col min="6141" max="6141" width="3.75" style="3" customWidth="1"/>
    <col min="6142" max="6153" width="2.875" style="3"/>
    <col min="6154" max="6154" width="8.75" style="3" bestFit="1" customWidth="1"/>
    <col min="6155" max="6162" width="2.875" style="3"/>
    <col min="6163" max="6163" width="8.25" style="3" bestFit="1" customWidth="1"/>
    <col min="6164" max="6164" width="8.75" style="3" bestFit="1" customWidth="1"/>
    <col min="6165" max="6165" width="7.5" style="3" bestFit="1" customWidth="1"/>
    <col min="6166" max="6396" width="2.875" style="3"/>
    <col min="6397" max="6397" width="3.75" style="3" customWidth="1"/>
    <col min="6398" max="6409" width="2.875" style="3"/>
    <col min="6410" max="6410" width="8.75" style="3" bestFit="1" customWidth="1"/>
    <col min="6411" max="6418" width="2.875" style="3"/>
    <col min="6419" max="6419" width="8.25" style="3" bestFit="1" customWidth="1"/>
    <col min="6420" max="6420" width="8.75" style="3" bestFit="1" customWidth="1"/>
    <col min="6421" max="6421" width="7.5" style="3" bestFit="1" customWidth="1"/>
    <col min="6422" max="6652" width="2.875" style="3"/>
    <col min="6653" max="6653" width="3.75" style="3" customWidth="1"/>
    <col min="6654" max="6665" width="2.875" style="3"/>
    <col min="6666" max="6666" width="8.75" style="3" bestFit="1" customWidth="1"/>
    <col min="6667" max="6674" width="2.875" style="3"/>
    <col min="6675" max="6675" width="8.25" style="3" bestFit="1" customWidth="1"/>
    <col min="6676" max="6676" width="8.75" style="3" bestFit="1" customWidth="1"/>
    <col min="6677" max="6677" width="7.5" style="3" bestFit="1" customWidth="1"/>
    <col min="6678" max="6908" width="2.875" style="3"/>
    <col min="6909" max="6909" width="3.75" style="3" customWidth="1"/>
    <col min="6910" max="6921" width="2.875" style="3"/>
    <col min="6922" max="6922" width="8.75" style="3" bestFit="1" customWidth="1"/>
    <col min="6923" max="6930" width="2.875" style="3"/>
    <col min="6931" max="6931" width="8.25" style="3" bestFit="1" customWidth="1"/>
    <col min="6932" max="6932" width="8.75" style="3" bestFit="1" customWidth="1"/>
    <col min="6933" max="6933" width="7.5" style="3" bestFit="1" customWidth="1"/>
    <col min="6934" max="7164" width="2.875" style="3"/>
    <col min="7165" max="7165" width="3.75" style="3" customWidth="1"/>
    <col min="7166" max="7177" width="2.875" style="3"/>
    <col min="7178" max="7178" width="8.75" style="3" bestFit="1" customWidth="1"/>
    <col min="7179" max="7186" width="2.875" style="3"/>
    <col min="7187" max="7187" width="8.25" style="3" bestFit="1" customWidth="1"/>
    <col min="7188" max="7188" width="8.75" style="3" bestFit="1" customWidth="1"/>
    <col min="7189" max="7189" width="7.5" style="3" bestFit="1" customWidth="1"/>
    <col min="7190" max="7420" width="2.875" style="3"/>
    <col min="7421" max="7421" width="3.75" style="3" customWidth="1"/>
    <col min="7422" max="7433" width="2.875" style="3"/>
    <col min="7434" max="7434" width="8.75" style="3" bestFit="1" customWidth="1"/>
    <col min="7435" max="7442" width="2.875" style="3"/>
    <col min="7443" max="7443" width="8.25" style="3" bestFit="1" customWidth="1"/>
    <col min="7444" max="7444" width="8.75" style="3" bestFit="1" customWidth="1"/>
    <col min="7445" max="7445" width="7.5" style="3" bestFit="1" customWidth="1"/>
    <col min="7446" max="7676" width="2.875" style="3"/>
    <col min="7677" max="7677" width="3.75" style="3" customWidth="1"/>
    <col min="7678" max="7689" width="2.875" style="3"/>
    <col min="7690" max="7690" width="8.75" style="3" bestFit="1" customWidth="1"/>
    <col min="7691" max="7698" width="2.875" style="3"/>
    <col min="7699" max="7699" width="8.25" style="3" bestFit="1" customWidth="1"/>
    <col min="7700" max="7700" width="8.75" style="3" bestFit="1" customWidth="1"/>
    <col min="7701" max="7701" width="7.5" style="3" bestFit="1" customWidth="1"/>
    <col min="7702" max="7932" width="2.875" style="3"/>
    <col min="7933" max="7933" width="3.75" style="3" customWidth="1"/>
    <col min="7934" max="7945" width="2.875" style="3"/>
    <col min="7946" max="7946" width="8.75" style="3" bestFit="1" customWidth="1"/>
    <col min="7947" max="7954" width="2.875" style="3"/>
    <col min="7955" max="7955" width="8.25" style="3" bestFit="1" customWidth="1"/>
    <col min="7956" max="7956" width="8.75" style="3" bestFit="1" customWidth="1"/>
    <col min="7957" max="7957" width="7.5" style="3" bestFit="1" customWidth="1"/>
    <col min="7958" max="8188" width="2.875" style="3"/>
    <col min="8189" max="8189" width="3.75" style="3" customWidth="1"/>
    <col min="8190" max="8201" width="2.875" style="3"/>
    <col min="8202" max="8202" width="8.75" style="3" bestFit="1" customWidth="1"/>
    <col min="8203" max="8210" width="2.875" style="3"/>
    <col min="8211" max="8211" width="8.25" style="3" bestFit="1" customWidth="1"/>
    <col min="8212" max="8212" width="8.75" style="3" bestFit="1" customWidth="1"/>
    <col min="8213" max="8213" width="7.5" style="3" bestFit="1" customWidth="1"/>
    <col min="8214" max="8444" width="2.875" style="3"/>
    <col min="8445" max="8445" width="3.75" style="3" customWidth="1"/>
    <col min="8446" max="8457" width="2.875" style="3"/>
    <col min="8458" max="8458" width="8.75" style="3" bestFit="1" customWidth="1"/>
    <col min="8459" max="8466" width="2.875" style="3"/>
    <col min="8467" max="8467" width="8.25" style="3" bestFit="1" customWidth="1"/>
    <col min="8468" max="8468" width="8.75" style="3" bestFit="1" customWidth="1"/>
    <col min="8469" max="8469" width="7.5" style="3" bestFit="1" customWidth="1"/>
    <col min="8470" max="8700" width="2.875" style="3"/>
    <col min="8701" max="8701" width="3.75" style="3" customWidth="1"/>
    <col min="8702" max="8713" width="2.875" style="3"/>
    <col min="8714" max="8714" width="8.75" style="3" bestFit="1" customWidth="1"/>
    <col min="8715" max="8722" width="2.875" style="3"/>
    <col min="8723" max="8723" width="8.25" style="3" bestFit="1" customWidth="1"/>
    <col min="8724" max="8724" width="8.75" style="3" bestFit="1" customWidth="1"/>
    <col min="8725" max="8725" width="7.5" style="3" bestFit="1" customWidth="1"/>
    <col min="8726" max="8956" width="2.875" style="3"/>
    <col min="8957" max="8957" width="3.75" style="3" customWidth="1"/>
    <col min="8958" max="8969" width="2.875" style="3"/>
    <col min="8970" max="8970" width="8.75" style="3" bestFit="1" customWidth="1"/>
    <col min="8971" max="8978" width="2.875" style="3"/>
    <col min="8979" max="8979" width="8.25" style="3" bestFit="1" customWidth="1"/>
    <col min="8980" max="8980" width="8.75" style="3" bestFit="1" customWidth="1"/>
    <col min="8981" max="8981" width="7.5" style="3" bestFit="1" customWidth="1"/>
    <col min="8982" max="9212" width="2.875" style="3"/>
    <col min="9213" max="9213" width="3.75" style="3" customWidth="1"/>
    <col min="9214" max="9225" width="2.875" style="3"/>
    <col min="9226" max="9226" width="8.75" style="3" bestFit="1" customWidth="1"/>
    <col min="9227" max="9234" width="2.875" style="3"/>
    <col min="9235" max="9235" width="8.25" style="3" bestFit="1" customWidth="1"/>
    <col min="9236" max="9236" width="8.75" style="3" bestFit="1" customWidth="1"/>
    <col min="9237" max="9237" width="7.5" style="3" bestFit="1" customWidth="1"/>
    <col min="9238" max="9468" width="2.875" style="3"/>
    <col min="9469" max="9469" width="3.75" style="3" customWidth="1"/>
    <col min="9470" max="9481" width="2.875" style="3"/>
    <col min="9482" max="9482" width="8.75" style="3" bestFit="1" customWidth="1"/>
    <col min="9483" max="9490" width="2.875" style="3"/>
    <col min="9491" max="9491" width="8.25" style="3" bestFit="1" customWidth="1"/>
    <col min="9492" max="9492" width="8.75" style="3" bestFit="1" customWidth="1"/>
    <col min="9493" max="9493" width="7.5" style="3" bestFit="1" customWidth="1"/>
    <col min="9494" max="9724" width="2.875" style="3"/>
    <col min="9725" max="9725" width="3.75" style="3" customWidth="1"/>
    <col min="9726" max="9737" width="2.875" style="3"/>
    <col min="9738" max="9738" width="8.75" style="3" bestFit="1" customWidth="1"/>
    <col min="9739" max="9746" width="2.875" style="3"/>
    <col min="9747" max="9747" width="8.25" style="3" bestFit="1" customWidth="1"/>
    <col min="9748" max="9748" width="8.75" style="3" bestFit="1" customWidth="1"/>
    <col min="9749" max="9749" width="7.5" style="3" bestFit="1" customWidth="1"/>
    <col min="9750" max="9980" width="2.875" style="3"/>
    <col min="9981" max="9981" width="3.75" style="3" customWidth="1"/>
    <col min="9982" max="9993" width="2.875" style="3"/>
    <col min="9994" max="9994" width="8.75" style="3" bestFit="1" customWidth="1"/>
    <col min="9995" max="10002" width="2.875" style="3"/>
    <col min="10003" max="10003" width="8.25" style="3" bestFit="1" customWidth="1"/>
    <col min="10004" max="10004" width="8.75" style="3" bestFit="1" customWidth="1"/>
    <col min="10005" max="10005" width="7.5" style="3" bestFit="1" customWidth="1"/>
    <col min="10006" max="10236" width="2.875" style="3"/>
    <col min="10237" max="10237" width="3.75" style="3" customWidth="1"/>
    <col min="10238" max="10249" width="2.875" style="3"/>
    <col min="10250" max="10250" width="8.75" style="3" bestFit="1" customWidth="1"/>
    <col min="10251" max="10258" width="2.875" style="3"/>
    <col min="10259" max="10259" width="8.25" style="3" bestFit="1" customWidth="1"/>
    <col min="10260" max="10260" width="8.75" style="3" bestFit="1" customWidth="1"/>
    <col min="10261" max="10261" width="7.5" style="3" bestFit="1" customWidth="1"/>
    <col min="10262" max="10492" width="2.875" style="3"/>
    <col min="10493" max="10493" width="3.75" style="3" customWidth="1"/>
    <col min="10494" max="10505" width="2.875" style="3"/>
    <col min="10506" max="10506" width="8.75" style="3" bestFit="1" customWidth="1"/>
    <col min="10507" max="10514" width="2.875" style="3"/>
    <col min="10515" max="10515" width="8.25" style="3" bestFit="1" customWidth="1"/>
    <col min="10516" max="10516" width="8.75" style="3" bestFit="1" customWidth="1"/>
    <col min="10517" max="10517" width="7.5" style="3" bestFit="1" customWidth="1"/>
    <col min="10518" max="10748" width="2.875" style="3"/>
    <col min="10749" max="10749" width="3.75" style="3" customWidth="1"/>
    <col min="10750" max="10761" width="2.875" style="3"/>
    <col min="10762" max="10762" width="8.75" style="3" bestFit="1" customWidth="1"/>
    <col min="10763" max="10770" width="2.875" style="3"/>
    <col min="10771" max="10771" width="8.25" style="3" bestFit="1" customWidth="1"/>
    <col min="10772" max="10772" width="8.75" style="3" bestFit="1" customWidth="1"/>
    <col min="10773" max="10773" width="7.5" style="3" bestFit="1" customWidth="1"/>
    <col min="10774" max="11004" width="2.875" style="3"/>
    <col min="11005" max="11005" width="3.75" style="3" customWidth="1"/>
    <col min="11006" max="11017" width="2.875" style="3"/>
    <col min="11018" max="11018" width="8.75" style="3" bestFit="1" customWidth="1"/>
    <col min="11019" max="11026" width="2.875" style="3"/>
    <col min="11027" max="11027" width="8.25" style="3" bestFit="1" customWidth="1"/>
    <col min="11028" max="11028" width="8.75" style="3" bestFit="1" customWidth="1"/>
    <col min="11029" max="11029" width="7.5" style="3" bestFit="1" customWidth="1"/>
    <col min="11030" max="11260" width="2.875" style="3"/>
    <col min="11261" max="11261" width="3.75" style="3" customWidth="1"/>
    <col min="11262" max="11273" width="2.875" style="3"/>
    <col min="11274" max="11274" width="8.75" style="3" bestFit="1" customWidth="1"/>
    <col min="11275" max="11282" width="2.875" style="3"/>
    <col min="11283" max="11283" width="8.25" style="3" bestFit="1" customWidth="1"/>
    <col min="11284" max="11284" width="8.75" style="3" bestFit="1" customWidth="1"/>
    <col min="11285" max="11285" width="7.5" style="3" bestFit="1" customWidth="1"/>
    <col min="11286" max="11516" width="2.875" style="3"/>
    <col min="11517" max="11517" width="3.75" style="3" customWidth="1"/>
    <col min="11518" max="11529" width="2.875" style="3"/>
    <col min="11530" max="11530" width="8.75" style="3" bestFit="1" customWidth="1"/>
    <col min="11531" max="11538" width="2.875" style="3"/>
    <col min="11539" max="11539" width="8.25" style="3" bestFit="1" customWidth="1"/>
    <col min="11540" max="11540" width="8.75" style="3" bestFit="1" customWidth="1"/>
    <col min="11541" max="11541" width="7.5" style="3" bestFit="1" customWidth="1"/>
    <col min="11542" max="11772" width="2.875" style="3"/>
    <col min="11773" max="11773" width="3.75" style="3" customWidth="1"/>
    <col min="11774" max="11785" width="2.875" style="3"/>
    <col min="11786" max="11786" width="8.75" style="3" bestFit="1" customWidth="1"/>
    <col min="11787" max="11794" width="2.875" style="3"/>
    <col min="11795" max="11795" width="8.25" style="3" bestFit="1" customWidth="1"/>
    <col min="11796" max="11796" width="8.75" style="3" bestFit="1" customWidth="1"/>
    <col min="11797" max="11797" width="7.5" style="3" bestFit="1" customWidth="1"/>
    <col min="11798" max="12028" width="2.875" style="3"/>
    <col min="12029" max="12029" width="3.75" style="3" customWidth="1"/>
    <col min="12030" max="12041" width="2.875" style="3"/>
    <col min="12042" max="12042" width="8.75" style="3" bestFit="1" customWidth="1"/>
    <col min="12043" max="12050" width="2.875" style="3"/>
    <col min="12051" max="12051" width="8.25" style="3" bestFit="1" customWidth="1"/>
    <col min="12052" max="12052" width="8.75" style="3" bestFit="1" customWidth="1"/>
    <col min="12053" max="12053" width="7.5" style="3" bestFit="1" customWidth="1"/>
    <col min="12054" max="12284" width="2.875" style="3"/>
    <col min="12285" max="12285" width="3.75" style="3" customWidth="1"/>
    <col min="12286" max="12297" width="2.875" style="3"/>
    <col min="12298" max="12298" width="8.75" style="3" bestFit="1" customWidth="1"/>
    <col min="12299" max="12306" width="2.875" style="3"/>
    <col min="12307" max="12307" width="8.25" style="3" bestFit="1" customWidth="1"/>
    <col min="12308" max="12308" width="8.75" style="3" bestFit="1" customWidth="1"/>
    <col min="12309" max="12309" width="7.5" style="3" bestFit="1" customWidth="1"/>
    <col min="12310" max="12540" width="2.875" style="3"/>
    <col min="12541" max="12541" width="3.75" style="3" customWidth="1"/>
    <col min="12542" max="12553" width="2.875" style="3"/>
    <col min="12554" max="12554" width="8.75" style="3" bestFit="1" customWidth="1"/>
    <col min="12555" max="12562" width="2.875" style="3"/>
    <col min="12563" max="12563" width="8.25" style="3" bestFit="1" customWidth="1"/>
    <col min="12564" max="12564" width="8.75" style="3" bestFit="1" customWidth="1"/>
    <col min="12565" max="12565" width="7.5" style="3" bestFit="1" customWidth="1"/>
    <col min="12566" max="12796" width="2.875" style="3"/>
    <col min="12797" max="12797" width="3.75" style="3" customWidth="1"/>
    <col min="12798" max="12809" width="2.875" style="3"/>
    <col min="12810" max="12810" width="8.75" style="3" bestFit="1" customWidth="1"/>
    <col min="12811" max="12818" width="2.875" style="3"/>
    <col min="12819" max="12819" width="8.25" style="3" bestFit="1" customWidth="1"/>
    <col min="12820" max="12820" width="8.75" style="3" bestFit="1" customWidth="1"/>
    <col min="12821" max="12821" width="7.5" style="3" bestFit="1" customWidth="1"/>
    <col min="12822" max="13052" width="2.875" style="3"/>
    <col min="13053" max="13053" width="3.75" style="3" customWidth="1"/>
    <col min="13054" max="13065" width="2.875" style="3"/>
    <col min="13066" max="13066" width="8.75" style="3" bestFit="1" customWidth="1"/>
    <col min="13067" max="13074" width="2.875" style="3"/>
    <col min="13075" max="13075" width="8.25" style="3" bestFit="1" customWidth="1"/>
    <col min="13076" max="13076" width="8.75" style="3" bestFit="1" customWidth="1"/>
    <col min="13077" max="13077" width="7.5" style="3" bestFit="1" customWidth="1"/>
    <col min="13078" max="13308" width="2.875" style="3"/>
    <col min="13309" max="13309" width="3.75" style="3" customWidth="1"/>
    <col min="13310" max="13321" width="2.875" style="3"/>
    <col min="13322" max="13322" width="8.75" style="3" bestFit="1" customWidth="1"/>
    <col min="13323" max="13330" width="2.875" style="3"/>
    <col min="13331" max="13331" width="8.25" style="3" bestFit="1" customWidth="1"/>
    <col min="13332" max="13332" width="8.75" style="3" bestFit="1" customWidth="1"/>
    <col min="13333" max="13333" width="7.5" style="3" bestFit="1" customWidth="1"/>
    <col min="13334" max="13564" width="2.875" style="3"/>
    <col min="13565" max="13565" width="3.75" style="3" customWidth="1"/>
    <col min="13566" max="13577" width="2.875" style="3"/>
    <col min="13578" max="13578" width="8.75" style="3" bestFit="1" customWidth="1"/>
    <col min="13579" max="13586" width="2.875" style="3"/>
    <col min="13587" max="13587" width="8.25" style="3" bestFit="1" customWidth="1"/>
    <col min="13588" max="13588" width="8.75" style="3" bestFit="1" customWidth="1"/>
    <col min="13589" max="13589" width="7.5" style="3" bestFit="1" customWidth="1"/>
    <col min="13590" max="13820" width="2.875" style="3"/>
    <col min="13821" max="13821" width="3.75" style="3" customWidth="1"/>
    <col min="13822" max="13833" width="2.875" style="3"/>
    <col min="13834" max="13834" width="8.75" style="3" bestFit="1" customWidth="1"/>
    <col min="13835" max="13842" width="2.875" style="3"/>
    <col min="13843" max="13843" width="8.25" style="3" bestFit="1" customWidth="1"/>
    <col min="13844" max="13844" width="8.75" style="3" bestFit="1" customWidth="1"/>
    <col min="13845" max="13845" width="7.5" style="3" bestFit="1" customWidth="1"/>
    <col min="13846" max="14076" width="2.875" style="3"/>
    <col min="14077" max="14077" width="3.75" style="3" customWidth="1"/>
    <col min="14078" max="14089" width="2.875" style="3"/>
    <col min="14090" max="14090" width="8.75" style="3" bestFit="1" customWidth="1"/>
    <col min="14091" max="14098" width="2.875" style="3"/>
    <col min="14099" max="14099" width="8.25" style="3" bestFit="1" customWidth="1"/>
    <col min="14100" max="14100" width="8.75" style="3" bestFit="1" customWidth="1"/>
    <col min="14101" max="14101" width="7.5" style="3" bestFit="1" customWidth="1"/>
    <col min="14102" max="14332" width="2.875" style="3"/>
    <col min="14333" max="14333" width="3.75" style="3" customWidth="1"/>
    <col min="14334" max="14345" width="2.875" style="3"/>
    <col min="14346" max="14346" width="8.75" style="3" bestFit="1" customWidth="1"/>
    <col min="14347" max="14354" width="2.875" style="3"/>
    <col min="14355" max="14355" width="8.25" style="3" bestFit="1" customWidth="1"/>
    <col min="14356" max="14356" width="8.75" style="3" bestFit="1" customWidth="1"/>
    <col min="14357" max="14357" width="7.5" style="3" bestFit="1" customWidth="1"/>
    <col min="14358" max="14588" width="2.875" style="3"/>
    <col min="14589" max="14589" width="3.75" style="3" customWidth="1"/>
    <col min="14590" max="14601" width="2.875" style="3"/>
    <col min="14602" max="14602" width="8.75" style="3" bestFit="1" customWidth="1"/>
    <col min="14603" max="14610" width="2.875" style="3"/>
    <col min="14611" max="14611" width="8.25" style="3" bestFit="1" customWidth="1"/>
    <col min="14612" max="14612" width="8.75" style="3" bestFit="1" customWidth="1"/>
    <col min="14613" max="14613" width="7.5" style="3" bestFit="1" customWidth="1"/>
    <col min="14614" max="14844" width="2.875" style="3"/>
    <col min="14845" max="14845" width="3.75" style="3" customWidth="1"/>
    <col min="14846" max="14857" width="2.875" style="3"/>
    <col min="14858" max="14858" width="8.75" style="3" bestFit="1" customWidth="1"/>
    <col min="14859" max="14866" width="2.875" style="3"/>
    <col min="14867" max="14867" width="8.25" style="3" bestFit="1" customWidth="1"/>
    <col min="14868" max="14868" width="8.75" style="3" bestFit="1" customWidth="1"/>
    <col min="14869" max="14869" width="7.5" style="3" bestFit="1" customWidth="1"/>
    <col min="14870" max="15100" width="2.875" style="3"/>
    <col min="15101" max="15101" width="3.75" style="3" customWidth="1"/>
    <col min="15102" max="15113" width="2.875" style="3"/>
    <col min="15114" max="15114" width="8.75" style="3" bestFit="1" customWidth="1"/>
    <col min="15115" max="15122" width="2.875" style="3"/>
    <col min="15123" max="15123" width="8.25" style="3" bestFit="1" customWidth="1"/>
    <col min="15124" max="15124" width="8.75" style="3" bestFit="1" customWidth="1"/>
    <col min="15125" max="15125" width="7.5" style="3" bestFit="1" customWidth="1"/>
    <col min="15126" max="15356" width="2.875" style="3"/>
    <col min="15357" max="15357" width="3.75" style="3" customWidth="1"/>
    <col min="15358" max="15369" width="2.875" style="3"/>
    <col min="15370" max="15370" width="8.75" style="3" bestFit="1" customWidth="1"/>
    <col min="15371" max="15378" width="2.875" style="3"/>
    <col min="15379" max="15379" width="8.25" style="3" bestFit="1" customWidth="1"/>
    <col min="15380" max="15380" width="8.75" style="3" bestFit="1" customWidth="1"/>
    <col min="15381" max="15381" width="7.5" style="3" bestFit="1" customWidth="1"/>
    <col min="15382" max="15612" width="2.875" style="3"/>
    <col min="15613" max="15613" width="3.75" style="3" customWidth="1"/>
    <col min="15614" max="15625" width="2.875" style="3"/>
    <col min="15626" max="15626" width="8.75" style="3" bestFit="1" customWidth="1"/>
    <col min="15627" max="15634" width="2.875" style="3"/>
    <col min="15635" max="15635" width="8.25" style="3" bestFit="1" customWidth="1"/>
    <col min="15636" max="15636" width="8.75" style="3" bestFit="1" customWidth="1"/>
    <col min="15637" max="15637" width="7.5" style="3" bestFit="1" customWidth="1"/>
    <col min="15638" max="15868" width="2.875" style="3"/>
    <col min="15869" max="15869" width="3.75" style="3" customWidth="1"/>
    <col min="15870" max="15881" width="2.875" style="3"/>
    <col min="15882" max="15882" width="8.75" style="3" bestFit="1" customWidth="1"/>
    <col min="15883" max="15890" width="2.875" style="3"/>
    <col min="15891" max="15891" width="8.25" style="3" bestFit="1" customWidth="1"/>
    <col min="15892" max="15892" width="8.75" style="3" bestFit="1" customWidth="1"/>
    <col min="15893" max="15893" width="7.5" style="3" bestFit="1" customWidth="1"/>
    <col min="15894" max="16124" width="2.875" style="3"/>
    <col min="16125" max="16125" width="3.75" style="3" customWidth="1"/>
    <col min="16126" max="16137" width="2.875" style="3"/>
    <col min="16138" max="16138" width="8.75" style="3" bestFit="1" customWidth="1"/>
    <col min="16139" max="16146" width="2.875" style="3"/>
    <col min="16147" max="16147" width="8.25" style="3" bestFit="1" customWidth="1"/>
    <col min="16148" max="16148" width="8.75" style="3" bestFit="1" customWidth="1"/>
    <col min="16149" max="16149" width="7.5" style="3" bestFit="1" customWidth="1"/>
    <col min="16150" max="16384" width="2.875" style="3"/>
  </cols>
  <sheetData>
    <row r="1" spans="1:82" ht="42.75" customHeight="1">
      <c r="A1" s="785" t="s">
        <v>0</v>
      </c>
      <c r="B1" s="786" t="str">
        <f>"페블테크 지내력 검토("&amp;입력!B4&amp;") - ("&amp;AC1&amp;")"</f>
        <v>페블테크 지내력 검토(전북 전주시 완산구 상림동 596 다세대주택 신축공사) - (지상1층)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065" t="s">
        <v>552</v>
      </c>
      <c r="AD1" s="1065"/>
      <c r="AE1" s="1065"/>
      <c r="AF1" s="783">
        <f>+F5</f>
        <v>3.8</v>
      </c>
      <c r="AG1" s="783">
        <f>+J5</f>
        <v>3.9</v>
      </c>
      <c r="AH1" s="784">
        <f>+N5</f>
        <v>0.16</v>
      </c>
      <c r="AI1" s="540">
        <f>+S228</f>
        <v>86.4</v>
      </c>
      <c r="AJ1" s="541">
        <f>+S496</f>
        <v>46.77</v>
      </c>
      <c r="AK1" s="3">
        <f>+S397+X101</f>
        <v>154.80000000000001</v>
      </c>
      <c r="AL1" s="541">
        <f>+S625</f>
        <v>22.970000000000002</v>
      </c>
      <c r="AM1" s="541"/>
      <c r="AT1" s="461" t="s">
        <v>514</v>
      </c>
      <c r="AX1" s="4"/>
    </row>
    <row r="2" spans="1:82" ht="25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453"/>
      <c r="W2" s="453"/>
      <c r="X2" s="453"/>
      <c r="Y2" s="453"/>
      <c r="Z2" s="453"/>
      <c r="AA2" s="9"/>
      <c r="AB2" s="9"/>
      <c r="AC2" s="9"/>
      <c r="AD2" s="452" t="s">
        <v>2</v>
      </c>
      <c r="AE2" s="452" t="s">
        <v>3</v>
      </c>
      <c r="AF2" s="452"/>
      <c r="AT2" s="74" t="s">
        <v>513</v>
      </c>
      <c r="AX2" s="4"/>
    </row>
    <row r="3" spans="1:82" ht="18" customHeight="1">
      <c r="A3" s="6"/>
      <c r="B3" s="1098" t="s">
        <v>4</v>
      </c>
      <c r="C3" s="1098"/>
      <c r="D3" s="1098"/>
      <c r="E3" s="1099"/>
      <c r="F3" s="1102" t="s">
        <v>5</v>
      </c>
      <c r="G3" s="1103"/>
      <c r="H3" s="1103"/>
      <c r="I3" s="1103"/>
      <c r="J3" s="1103"/>
      <c r="K3" s="1103"/>
      <c r="L3" s="1103"/>
      <c r="M3" s="1104"/>
      <c r="N3" s="1105" t="s">
        <v>6</v>
      </c>
      <c r="O3" s="1106"/>
      <c r="P3" s="1106"/>
      <c r="Q3" s="1107"/>
      <c r="R3" s="1105" t="s">
        <v>7</v>
      </c>
      <c r="S3" s="1106"/>
      <c r="T3" s="1106"/>
      <c r="U3" s="1107"/>
      <c r="V3" s="1108" t="s">
        <v>8</v>
      </c>
      <c r="W3" s="1109"/>
      <c r="X3" s="1109"/>
      <c r="Y3" s="1109"/>
      <c r="Z3" s="1109"/>
      <c r="AA3" s="9"/>
      <c r="AB3" s="9"/>
      <c r="AC3" s="9"/>
      <c r="AD3" s="452" t="s">
        <v>9</v>
      </c>
      <c r="AE3" s="452" t="s">
        <v>10</v>
      </c>
      <c r="AF3" s="452"/>
      <c r="AX3" s="11"/>
      <c r="AY3" s="12"/>
      <c r="AZ3" s="13"/>
      <c r="BA3" s="13"/>
      <c r="BK3" s="14"/>
      <c r="BL3" s="13"/>
      <c r="BM3" s="13"/>
      <c r="BN3" s="13"/>
      <c r="BO3" s="13"/>
      <c r="BP3" s="15"/>
      <c r="BQ3" s="16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18" customHeight="1">
      <c r="A4" s="6"/>
      <c r="B4" s="1100"/>
      <c r="C4" s="1100"/>
      <c r="D4" s="1100"/>
      <c r="E4" s="1101"/>
      <c r="F4" s="1110" t="s">
        <v>12</v>
      </c>
      <c r="G4" s="1111"/>
      <c r="H4" s="1111"/>
      <c r="I4" s="1112"/>
      <c r="J4" s="1110" t="s">
        <v>13</v>
      </c>
      <c r="K4" s="1111"/>
      <c r="L4" s="1111"/>
      <c r="M4" s="1112"/>
      <c r="N4" s="1113" t="s">
        <v>14</v>
      </c>
      <c r="O4" s="1114"/>
      <c r="P4" s="1114"/>
      <c r="Q4" s="1115"/>
      <c r="R4" s="1116" t="s">
        <v>15</v>
      </c>
      <c r="S4" s="1117"/>
      <c r="T4" s="1117"/>
      <c r="U4" s="1118"/>
      <c r="V4" s="1138" t="s">
        <v>16</v>
      </c>
      <c r="W4" s="1139"/>
      <c r="X4" s="1139"/>
      <c r="Y4" s="1139"/>
      <c r="Z4" s="1139"/>
      <c r="AA4" s="9"/>
      <c r="AB4" s="9"/>
      <c r="AC4" s="9"/>
      <c r="AD4" s="452" t="s">
        <v>17</v>
      </c>
      <c r="AE4" s="452" t="s">
        <v>18</v>
      </c>
      <c r="AF4" s="452"/>
      <c r="AS4" s="1140"/>
      <c r="AT4" s="1140"/>
      <c r="AX4" s="11"/>
      <c r="AY4" s="12"/>
      <c r="AZ4" s="13"/>
      <c r="BA4" s="13"/>
      <c r="BK4" s="14"/>
      <c r="BL4" s="13"/>
      <c r="BM4" s="13"/>
      <c r="BN4" s="21"/>
      <c r="BO4" s="21"/>
      <c r="BP4" s="21"/>
      <c r="BQ4" s="21"/>
      <c r="BR4" s="21"/>
      <c r="BS4" s="20"/>
      <c r="BT4" s="20"/>
      <c r="BU4" s="20"/>
      <c r="BV4" s="20"/>
      <c r="BW4" s="20"/>
    </row>
    <row r="5" spans="1:82" ht="18" customHeight="1">
      <c r="A5" s="6"/>
      <c r="B5" s="1125" t="str">
        <f>+입력!D25</f>
        <v>BH-1</v>
      </c>
      <c r="C5" s="1125"/>
      <c r="D5" s="1125"/>
      <c r="E5" s="1126"/>
      <c r="F5" s="1127">
        <v>3.8</v>
      </c>
      <c r="G5" s="1128"/>
      <c r="H5" s="1128"/>
      <c r="I5" s="1129"/>
      <c r="J5" s="1127">
        <v>3.9</v>
      </c>
      <c r="K5" s="1128"/>
      <c r="L5" s="1128"/>
      <c r="M5" s="1129"/>
      <c r="N5" s="1130">
        <f>+AG43</f>
        <v>0.16</v>
      </c>
      <c r="O5" s="1131"/>
      <c r="P5" s="1131"/>
      <c r="Q5" s="1132"/>
      <c r="R5" s="1133">
        <f>+입력!D6</f>
        <v>150</v>
      </c>
      <c r="S5" s="1134"/>
      <c r="T5" s="1134"/>
      <c r="U5" s="1135"/>
      <c r="V5" s="1136">
        <f>+입력!B25</f>
        <v>2.72</v>
      </c>
      <c r="W5" s="1137"/>
      <c r="X5" s="1137"/>
      <c r="Y5" s="1137"/>
      <c r="Z5" s="1137"/>
      <c r="AA5" s="9"/>
      <c r="AB5" s="9"/>
      <c r="AC5" s="9"/>
      <c r="AD5" s="452" t="s">
        <v>28</v>
      </c>
      <c r="AE5" s="452" t="s">
        <v>29</v>
      </c>
      <c r="AF5" s="452"/>
      <c r="AG5" s="10"/>
      <c r="AH5" s="10"/>
      <c r="AS5" s="1140"/>
      <c r="AT5" s="1140"/>
      <c r="AX5" s="11"/>
      <c r="AY5" s="12"/>
      <c r="AZ5" s="13"/>
      <c r="BA5" s="13"/>
      <c r="BK5" s="14"/>
      <c r="BL5" s="13"/>
      <c r="BM5" s="13"/>
      <c r="BN5" s="17"/>
      <c r="BO5" s="17"/>
      <c r="BP5" s="17"/>
      <c r="BQ5" s="17"/>
      <c r="BR5" s="17"/>
      <c r="BS5" s="17"/>
      <c r="BT5" s="17"/>
      <c r="BU5" s="17"/>
      <c r="BV5" s="17"/>
      <c r="BW5" s="17"/>
    </row>
    <row r="6" spans="1:82" ht="18" customHeight="1">
      <c r="A6" s="6"/>
      <c r="B6" s="457"/>
      <c r="C6" s="458"/>
      <c r="D6" s="458"/>
      <c r="E6" s="458"/>
      <c r="F6" s="458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60"/>
      <c r="S6" s="460"/>
      <c r="T6" s="460"/>
      <c r="U6" s="460"/>
      <c r="V6" s="459"/>
      <c r="W6" s="459"/>
      <c r="X6" s="459"/>
      <c r="Y6" s="459"/>
      <c r="Z6" s="459"/>
      <c r="AA6" s="9"/>
      <c r="AB6" s="9"/>
      <c r="AC6" s="9"/>
      <c r="AD6" s="452" t="s">
        <v>33</v>
      </c>
      <c r="AE6" s="452" t="s">
        <v>34</v>
      </c>
      <c r="AF6" s="452"/>
      <c r="AS6" s="1073"/>
      <c r="AT6" s="1073"/>
      <c r="AX6" s="11"/>
      <c r="AY6" s="12"/>
      <c r="AZ6" s="13"/>
      <c r="BA6" s="13"/>
      <c r="BK6" s="14"/>
      <c r="BL6" s="13"/>
      <c r="BM6" s="13"/>
    </row>
    <row r="7" spans="1:82" ht="18" customHeight="1">
      <c r="A7" s="6"/>
      <c r="B7" s="457"/>
      <c r="C7" s="562" t="s">
        <v>423</v>
      </c>
      <c r="D7" s="563"/>
      <c r="E7" s="563"/>
      <c r="F7" s="563"/>
      <c r="G7" s="564" t="str">
        <f>+입력!C8</f>
        <v>매트기초</v>
      </c>
      <c r="H7" s="564"/>
      <c r="I7" s="564"/>
      <c r="J7" s="564" t="str">
        <f>+입력!D8</f>
        <v>THK 500</v>
      </c>
      <c r="K7" s="564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59"/>
      <c r="AA7" s="9"/>
      <c r="AB7" s="9"/>
      <c r="AC7" s="9"/>
      <c r="AD7" s="452" t="s">
        <v>38</v>
      </c>
      <c r="AE7" s="452" t="s">
        <v>39</v>
      </c>
      <c r="AF7" s="452"/>
      <c r="AG7" s="10"/>
      <c r="AH7" s="10"/>
      <c r="AI7" s="10"/>
      <c r="AJ7" s="10"/>
      <c r="AK7" s="10"/>
      <c r="AS7" s="1073"/>
      <c r="AT7" s="1073"/>
      <c r="AX7" s="11"/>
      <c r="AY7" s="12"/>
      <c r="AZ7" s="13"/>
      <c r="BA7" s="13"/>
      <c r="BK7" s="14"/>
      <c r="BL7" s="13"/>
      <c r="BM7" s="13"/>
    </row>
    <row r="8" spans="1:82" ht="18" customHeight="1">
      <c r="A8" s="6"/>
      <c r="B8" s="8"/>
      <c r="C8" s="74"/>
      <c r="D8" s="510"/>
      <c r="E8" s="463"/>
      <c r="F8" s="463"/>
      <c r="G8" s="463"/>
      <c r="H8" s="463"/>
      <c r="I8" s="463"/>
      <c r="J8" s="463"/>
      <c r="K8" s="463"/>
      <c r="L8" s="463"/>
      <c r="M8" s="463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52" t="s">
        <v>44</v>
      </c>
      <c r="AE8" s="452" t="s">
        <v>45</v>
      </c>
      <c r="AF8" s="452"/>
      <c r="AS8" s="1073"/>
      <c r="AT8" s="1073"/>
      <c r="AU8" s="693"/>
      <c r="AV8" s="693"/>
      <c r="AX8" s="12"/>
      <c r="AY8" s="12"/>
      <c r="AZ8" s="12"/>
      <c r="BA8" s="694"/>
      <c r="BB8" s="694"/>
      <c r="BC8" s="682"/>
      <c r="BD8" s="695"/>
      <c r="BE8" s="695"/>
      <c r="BF8" s="11"/>
      <c r="BG8" s="692"/>
      <c r="BH8" s="40"/>
      <c r="BI8" s="20"/>
      <c r="BJ8" s="20"/>
      <c r="BK8" s="20"/>
      <c r="BL8" s="20"/>
      <c r="BM8" s="20"/>
    </row>
    <row r="9" spans="1:82" ht="18" customHeight="1">
      <c r="A9" s="6"/>
      <c r="B9" s="8"/>
      <c r="C9" s="8"/>
      <c r="D9" s="510"/>
      <c r="E9" s="463"/>
      <c r="F9" s="463"/>
      <c r="G9" s="463"/>
      <c r="H9" s="463"/>
      <c r="I9" s="463"/>
      <c r="J9" s="463"/>
      <c r="K9" s="463"/>
      <c r="L9" s="463"/>
      <c r="M9" s="463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D9" s="968" t="s">
        <v>26</v>
      </c>
      <c r="AE9" s="968"/>
      <c r="AF9" s="957" t="s">
        <v>27</v>
      </c>
      <c r="AG9" s="957"/>
      <c r="AI9" s="958" t="s">
        <v>19</v>
      </c>
      <c r="AJ9" s="959"/>
      <c r="AK9" s="960"/>
      <c r="AL9" s="679" t="s">
        <v>20</v>
      </c>
      <c r="AM9" s="959" t="s">
        <v>21</v>
      </c>
      <c r="AN9" s="960"/>
      <c r="AO9" s="964" t="s">
        <v>538</v>
      </c>
      <c r="AP9" s="966" t="s">
        <v>143</v>
      </c>
      <c r="AQ9" s="11"/>
      <c r="AR9" s="968" t="s">
        <v>25</v>
      </c>
      <c r="AS9" s="1073"/>
      <c r="AT9" s="1073"/>
      <c r="AU9" s="693"/>
      <c r="AV9" s="693"/>
      <c r="AX9" s="12"/>
      <c r="AY9" s="12"/>
      <c r="AZ9" s="12"/>
      <c r="BA9" s="694"/>
      <c r="BB9" s="694"/>
      <c r="BC9" s="682"/>
      <c r="BD9" s="694"/>
      <c r="BE9" s="694"/>
      <c r="BF9" s="11"/>
      <c r="BG9" s="692"/>
      <c r="BH9" s="40"/>
      <c r="BI9" s="20"/>
      <c r="BJ9" s="20"/>
      <c r="BK9" s="20"/>
      <c r="BL9" s="20"/>
      <c r="BM9" s="20"/>
    </row>
    <row r="10" spans="1:82" ht="18" customHeight="1">
      <c r="A10" s="6"/>
      <c r="B10" s="8"/>
      <c r="C10" s="8"/>
      <c r="D10" s="7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D10" s="968"/>
      <c r="AE10" s="968"/>
      <c r="AF10" s="957"/>
      <c r="AG10" s="957"/>
      <c r="AI10" s="961"/>
      <c r="AJ10" s="962"/>
      <c r="AK10" s="963"/>
      <c r="AL10" s="680"/>
      <c r="AM10" s="962" t="s">
        <v>30</v>
      </c>
      <c r="AN10" s="963"/>
      <c r="AO10" s="965"/>
      <c r="AP10" s="967"/>
      <c r="AQ10" s="11"/>
      <c r="AR10" s="968"/>
      <c r="AS10" s="1073"/>
      <c r="AT10" s="1073"/>
      <c r="AU10" s="761" t="s">
        <v>36</v>
      </c>
      <c r="AV10" s="768" t="s">
        <v>37</v>
      </c>
      <c r="AW10" s="523"/>
      <c r="AX10" s="523"/>
      <c r="AY10" s="523"/>
      <c r="AZ10" s="523"/>
      <c r="BA10" s="523"/>
      <c r="BB10" s="523"/>
      <c r="BC10" s="523"/>
      <c r="BD10" s="523"/>
      <c r="BE10" s="523"/>
      <c r="BF10" s="523"/>
      <c r="BG10" s="523"/>
      <c r="BH10" s="523"/>
      <c r="BI10" s="524"/>
    </row>
    <row r="11" spans="1:82" ht="20.25" customHeight="1">
      <c r="A11" s="6"/>
      <c r="B11" s="7" t="s">
        <v>553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D11" s="871">
        <f>+AK11</f>
        <v>1</v>
      </c>
      <c r="AE11" s="871"/>
      <c r="AF11" s="872">
        <v>4</v>
      </c>
      <c r="AG11" s="873"/>
      <c r="AI11" s="550">
        <v>0</v>
      </c>
      <c r="AJ11" s="538" t="s">
        <v>35</v>
      </c>
      <c r="AK11" s="548">
        <v>1</v>
      </c>
      <c r="AL11" s="681">
        <f t="shared" ref="AL11:AL15" si="0">AK11-AI11</f>
        <v>1</v>
      </c>
      <c r="AM11" s="867">
        <f>+IF(AF11&gt;50,1400*AF11,IF(OR(AO11="GW",AO11="GP",AO11="GM",AO11="GC"),1200*(AF11+6),IF(AND(OR(AO11="SC",AO11="SW",AO11="SP",AO11="SM"),AF11&gt;15),1300*AF11,500*(AF11+15))))</f>
        <v>9500</v>
      </c>
      <c r="AN11" s="868"/>
      <c r="AO11" s="740" t="s">
        <v>888</v>
      </c>
      <c r="AP11" s="762" t="s">
        <v>406</v>
      </c>
      <c r="AQ11" s="11"/>
      <c r="AR11" s="28">
        <f>SUM(AL11)/2</f>
        <v>0.5</v>
      </c>
      <c r="AS11" s="1073"/>
      <c r="AT11" s="1073"/>
      <c r="AU11" s="1059" t="s">
        <v>40</v>
      </c>
      <c r="AV11" s="1060"/>
      <c r="AW11" s="1060"/>
      <c r="AX11" s="1060"/>
      <c r="AY11" s="1061"/>
      <c r="AZ11" s="1059" t="s">
        <v>41</v>
      </c>
      <c r="BA11" s="1060"/>
      <c r="BB11" s="1060"/>
      <c r="BC11" s="1060"/>
      <c r="BD11" s="1061"/>
      <c r="BE11" s="1059" t="s">
        <v>42</v>
      </c>
      <c r="BF11" s="1060"/>
      <c r="BG11" s="1060"/>
      <c r="BH11" s="1060"/>
      <c r="BI11" s="1061"/>
    </row>
    <row r="12" spans="1:82" ht="20.25" customHeight="1">
      <c r="A12" s="6"/>
      <c r="B12" s="1141" t="s">
        <v>48</v>
      </c>
      <c r="C12" s="1142"/>
      <c r="D12" s="787" t="s">
        <v>290</v>
      </c>
      <c r="E12" s="787"/>
      <c r="F12" s="787"/>
      <c r="G12" s="787"/>
      <c r="H12" s="1165" t="s">
        <v>49</v>
      </c>
      <c r="I12" s="1165"/>
      <c r="J12" s="1165"/>
      <c r="K12" s="1166" t="s">
        <v>51</v>
      </c>
      <c r="L12" s="1166"/>
      <c r="M12" s="1166"/>
      <c r="N12" s="1166" t="s">
        <v>52</v>
      </c>
      <c r="O12" s="1166"/>
      <c r="P12" s="1173" t="s">
        <v>54</v>
      </c>
      <c r="Q12" s="1174"/>
      <c r="R12" s="1175"/>
      <c r="S12" s="1169" t="s">
        <v>582</v>
      </c>
      <c r="T12" s="1170"/>
      <c r="U12" s="1093" t="s">
        <v>55</v>
      </c>
      <c r="V12" s="1093"/>
      <c r="W12" s="1093"/>
      <c r="X12" s="1094" t="s">
        <v>56</v>
      </c>
      <c r="Y12" s="1094"/>
      <c r="Z12" s="1095"/>
      <c r="AA12" s="9"/>
      <c r="AC12" s="1168" t="s">
        <v>539</v>
      </c>
      <c r="AD12" s="871">
        <f t="shared" ref="AD12:AD37" si="1">+AK12</f>
        <v>2</v>
      </c>
      <c r="AE12" s="871"/>
      <c r="AF12" s="872">
        <v>5</v>
      </c>
      <c r="AG12" s="873"/>
      <c r="AI12" s="504">
        <f>+AK11</f>
        <v>1</v>
      </c>
      <c r="AJ12" s="503" t="s">
        <v>35</v>
      </c>
      <c r="AK12" s="549">
        <v>2</v>
      </c>
      <c r="AL12" s="678">
        <f t="shared" si="0"/>
        <v>1</v>
      </c>
      <c r="AM12" s="867">
        <f t="shared" ref="AM12:AM37" si="2">+IF(AF12&gt;50,1400*AF12,IF(OR(AO12="GW",AO12="GP",AO12="GM",AO12="GC"),1200*(AF12+6),IF(AND(OR(AO12="SC",AO12="SW",AO12="SP",AO12="SM"),AF12&gt;15),1300*AF12,500*(AF12+15))))</f>
        <v>10000</v>
      </c>
      <c r="AN12" s="868"/>
      <c r="AO12" s="740" t="s">
        <v>888</v>
      </c>
      <c r="AP12" s="762"/>
      <c r="AQ12" s="11"/>
      <c r="AR12" s="28">
        <f>SUM(AL11)+(AL12/2)</f>
        <v>1.5</v>
      </c>
      <c r="AS12" s="1073"/>
      <c r="AT12" s="1073"/>
      <c r="AU12" s="1149" t="s">
        <v>46</v>
      </c>
      <c r="AV12" s="1150"/>
      <c r="AW12" s="1150"/>
      <c r="AX12" s="1150"/>
      <c r="AY12" s="1151"/>
      <c r="AZ12" s="1158" t="s">
        <v>47</v>
      </c>
      <c r="BA12" s="1159"/>
      <c r="BB12" s="1159"/>
      <c r="BC12" s="1159"/>
      <c r="BD12" s="1160"/>
      <c r="BE12" s="1122"/>
      <c r="BF12" s="1123"/>
      <c r="BG12" s="1123"/>
      <c r="BH12" s="1123"/>
      <c r="BI12" s="1124"/>
      <c r="BK12" s="525"/>
    </row>
    <row r="13" spans="1:82" ht="23.25" customHeight="1">
      <c r="A13" s="6"/>
      <c r="B13" s="1143"/>
      <c r="C13" s="1144"/>
      <c r="D13" s="1145"/>
      <c r="E13" s="1145"/>
      <c r="F13" s="1145"/>
      <c r="G13" s="1145"/>
      <c r="H13" s="1164" t="s">
        <v>14</v>
      </c>
      <c r="I13" s="1164"/>
      <c r="J13" s="1164"/>
      <c r="K13" s="1146" t="s">
        <v>584</v>
      </c>
      <c r="L13" s="1147"/>
      <c r="M13" s="1147"/>
      <c r="N13" s="1148" t="s">
        <v>585</v>
      </c>
      <c r="O13" s="1148"/>
      <c r="P13" s="1176" t="s">
        <v>824</v>
      </c>
      <c r="Q13" s="1177"/>
      <c r="R13" s="1178"/>
      <c r="S13" s="1171" t="s">
        <v>583</v>
      </c>
      <c r="T13" s="1172"/>
      <c r="U13" s="1167" t="s">
        <v>586</v>
      </c>
      <c r="V13" s="1167"/>
      <c r="W13" s="1167"/>
      <c r="X13" s="1096"/>
      <c r="Y13" s="1096"/>
      <c r="Z13" s="1097"/>
      <c r="AA13" s="9"/>
      <c r="AC13" s="1168"/>
      <c r="AD13" s="871">
        <f t="shared" si="1"/>
        <v>3</v>
      </c>
      <c r="AE13" s="871"/>
      <c r="AF13" s="872">
        <v>5</v>
      </c>
      <c r="AG13" s="873"/>
      <c r="AI13" s="504">
        <f t="shared" ref="AI13:AI14" si="3">+AK12</f>
        <v>2</v>
      </c>
      <c r="AJ13" s="503" t="s">
        <v>35</v>
      </c>
      <c r="AK13" s="549">
        <v>3</v>
      </c>
      <c r="AL13" s="678">
        <f t="shared" si="0"/>
        <v>1</v>
      </c>
      <c r="AM13" s="867">
        <f t="shared" si="2"/>
        <v>10000</v>
      </c>
      <c r="AN13" s="868"/>
      <c r="AO13" s="740" t="s">
        <v>888</v>
      </c>
      <c r="AP13" s="762"/>
      <c r="AQ13" s="11"/>
      <c r="AR13" s="28">
        <f>SUM(AL$11:$AL12)+(AL13/2)</f>
        <v>2.5</v>
      </c>
      <c r="AS13" s="1073"/>
      <c r="AT13" s="1073"/>
      <c r="AU13" s="1152"/>
      <c r="AV13" s="1153"/>
      <c r="AW13" s="1153"/>
      <c r="AX13" s="1153"/>
      <c r="AY13" s="1154"/>
      <c r="AZ13" s="1070" t="s">
        <v>59</v>
      </c>
      <c r="BA13" s="1071"/>
      <c r="BB13" s="1071"/>
      <c r="BC13" s="1071"/>
      <c r="BD13" s="1072"/>
      <c r="BE13" s="1062" t="s">
        <v>60</v>
      </c>
      <c r="BF13" s="1063"/>
      <c r="BG13" s="1063"/>
      <c r="BH13" s="1063"/>
      <c r="BI13" s="1064"/>
      <c r="BK13" s="525"/>
    </row>
    <row r="14" spans="1:82" ht="23.25" customHeight="1">
      <c r="A14" s="6"/>
      <c r="B14" s="946" t="str">
        <f>+입력!A20</f>
        <v>매립층</v>
      </c>
      <c r="C14" s="947"/>
      <c r="D14" s="950">
        <v>0</v>
      </c>
      <c r="E14" s="951"/>
      <c r="F14" s="952">
        <f>+입력!C20</f>
        <v>3.5</v>
      </c>
      <c r="G14" s="953"/>
      <c r="H14" s="942">
        <f>F14-D14</f>
        <v>3.5</v>
      </c>
      <c r="I14" s="943"/>
      <c r="J14" s="944"/>
      <c r="K14" s="945">
        <f>+입력!D20</f>
        <v>18</v>
      </c>
      <c r="L14" s="946"/>
      <c r="M14" s="947"/>
      <c r="N14" s="948">
        <v>0</v>
      </c>
      <c r="O14" s="949"/>
      <c r="P14" s="948">
        <v>21</v>
      </c>
      <c r="Q14" s="1179"/>
      <c r="R14" s="949"/>
      <c r="S14" s="1088">
        <v>0.4</v>
      </c>
      <c r="T14" s="1089"/>
      <c r="U14" s="1077">
        <f>+AM11</f>
        <v>9500</v>
      </c>
      <c r="V14" s="1078"/>
      <c r="W14" s="1079"/>
      <c r="X14" s="1080" t="str">
        <f>+입력!E20</f>
        <v>실트질 모래</v>
      </c>
      <c r="Y14" s="1081"/>
      <c r="Z14" s="1081"/>
      <c r="AA14" s="9"/>
      <c r="AC14" s="566" t="str">
        <f>+입력!F20</f>
        <v>SM</v>
      </c>
      <c r="AD14" s="871">
        <f t="shared" si="1"/>
        <v>4</v>
      </c>
      <c r="AE14" s="871"/>
      <c r="AF14" s="872">
        <v>4</v>
      </c>
      <c r="AG14" s="873"/>
      <c r="AH14" s="5"/>
      <c r="AI14" s="504">
        <f t="shared" si="3"/>
        <v>3</v>
      </c>
      <c r="AJ14" s="503" t="s">
        <v>35</v>
      </c>
      <c r="AK14" s="548">
        <v>4</v>
      </c>
      <c r="AL14" s="678">
        <f t="shared" si="0"/>
        <v>1</v>
      </c>
      <c r="AM14" s="867">
        <f t="shared" si="2"/>
        <v>9500</v>
      </c>
      <c r="AN14" s="868"/>
      <c r="AO14" s="740" t="s">
        <v>888</v>
      </c>
      <c r="AP14" s="762"/>
      <c r="AQ14" s="11"/>
      <c r="AR14" s="28">
        <f>SUM(AL$11:$AL13)+(AL14/2)</f>
        <v>3.5</v>
      </c>
      <c r="AS14" s="1073"/>
      <c r="AT14" s="1073"/>
      <c r="AU14" s="1152"/>
      <c r="AV14" s="1153"/>
      <c r="AW14" s="1153"/>
      <c r="AX14" s="1153"/>
      <c r="AY14" s="1154"/>
      <c r="AZ14" s="1070" t="s">
        <v>62</v>
      </c>
      <c r="BA14" s="1071"/>
      <c r="BB14" s="1071"/>
      <c r="BC14" s="1071"/>
      <c r="BD14" s="1072"/>
      <c r="BE14" s="1062" t="s">
        <v>63</v>
      </c>
      <c r="BF14" s="1063"/>
      <c r="BG14" s="1063"/>
      <c r="BH14" s="1063"/>
      <c r="BI14" s="1064"/>
      <c r="BK14" s="525"/>
    </row>
    <row r="15" spans="1:82" ht="23.25" customHeight="1">
      <c r="A15" s="6"/>
      <c r="B15" s="946" t="str">
        <f>+입력!A21</f>
        <v>퇴적층</v>
      </c>
      <c r="C15" s="947"/>
      <c r="D15" s="950">
        <f>+F14</f>
        <v>3.5</v>
      </c>
      <c r="E15" s="951"/>
      <c r="F15" s="952">
        <f>+입력!C21</f>
        <v>6.7</v>
      </c>
      <c r="G15" s="953"/>
      <c r="H15" s="942">
        <f>F15-D15</f>
        <v>3.2</v>
      </c>
      <c r="I15" s="943"/>
      <c r="J15" s="944"/>
      <c r="K15" s="945">
        <f>+입력!D21</f>
        <v>18</v>
      </c>
      <c r="L15" s="946"/>
      <c r="M15" s="947"/>
      <c r="N15" s="948">
        <v>0</v>
      </c>
      <c r="O15" s="949"/>
      <c r="P15" s="948">
        <v>23</v>
      </c>
      <c r="Q15" s="1179"/>
      <c r="R15" s="949"/>
      <c r="S15" s="1088">
        <v>0.38</v>
      </c>
      <c r="T15" s="1089"/>
      <c r="U15" s="1077">
        <f>+AM13</f>
        <v>10000</v>
      </c>
      <c r="V15" s="1078"/>
      <c r="W15" s="1079"/>
      <c r="X15" s="1080" t="str">
        <f>+입력!E21</f>
        <v>실트질 모래</v>
      </c>
      <c r="Y15" s="1081"/>
      <c r="Z15" s="1081"/>
      <c r="AA15" s="9"/>
      <c r="AC15" s="566" t="str">
        <f>+입력!F21</f>
        <v>SM</v>
      </c>
      <c r="AD15" s="871">
        <f t="shared" si="1"/>
        <v>5</v>
      </c>
      <c r="AE15" s="871"/>
      <c r="AF15" s="872">
        <v>3</v>
      </c>
      <c r="AG15" s="873"/>
      <c r="AH15" s="5"/>
      <c r="AI15" s="504">
        <f>+AK14</f>
        <v>4</v>
      </c>
      <c r="AJ15" s="503" t="s">
        <v>35</v>
      </c>
      <c r="AK15" s="549">
        <v>5</v>
      </c>
      <c r="AL15" s="678">
        <f t="shared" si="0"/>
        <v>1</v>
      </c>
      <c r="AM15" s="867">
        <f t="shared" si="2"/>
        <v>9000</v>
      </c>
      <c r="AN15" s="868"/>
      <c r="AO15" s="740" t="s">
        <v>888</v>
      </c>
      <c r="AP15" s="762" t="s">
        <v>407</v>
      </c>
      <c r="AQ15" s="11"/>
      <c r="AR15" s="28">
        <f>SUM(AL$11:$AL14)+(AL15/2)</f>
        <v>4.5</v>
      </c>
      <c r="AS15" s="1073"/>
      <c r="AT15" s="1073"/>
      <c r="AU15" s="1155"/>
      <c r="AV15" s="1156"/>
      <c r="AW15" s="1156"/>
      <c r="AX15" s="1156"/>
      <c r="AY15" s="1157"/>
      <c r="AZ15" s="1161" t="s">
        <v>504</v>
      </c>
      <c r="BA15" s="1162"/>
      <c r="BB15" s="1162"/>
      <c r="BC15" s="1162"/>
      <c r="BD15" s="1163"/>
      <c r="BE15" s="1119"/>
      <c r="BF15" s="1120"/>
      <c r="BG15" s="1120"/>
      <c r="BH15" s="1120"/>
      <c r="BI15" s="1121"/>
      <c r="BK15" s="525"/>
    </row>
    <row r="16" spans="1:82" ht="23.25" customHeight="1">
      <c r="A16" s="6"/>
      <c r="B16" s="946" t="str">
        <f>+입력!A22</f>
        <v>풍화암</v>
      </c>
      <c r="C16" s="947"/>
      <c r="D16" s="950">
        <f t="shared" ref="D16" si="4">+F15</f>
        <v>6.7</v>
      </c>
      <c r="E16" s="951"/>
      <c r="F16" s="952">
        <f>+입력!C22</f>
        <v>15</v>
      </c>
      <c r="G16" s="953"/>
      <c r="H16" s="942">
        <f>F16-D16</f>
        <v>8.3000000000000007</v>
      </c>
      <c r="I16" s="943"/>
      <c r="J16" s="944"/>
      <c r="K16" s="945">
        <f>+입력!D22</f>
        <v>20</v>
      </c>
      <c r="L16" s="946"/>
      <c r="M16" s="947"/>
      <c r="N16" s="948">
        <v>20</v>
      </c>
      <c r="O16" s="949"/>
      <c r="P16" s="948">
        <v>30</v>
      </c>
      <c r="Q16" s="1179"/>
      <c r="R16" s="949"/>
      <c r="S16" s="1088">
        <v>0.3</v>
      </c>
      <c r="T16" s="1089"/>
      <c r="U16" s="1077">
        <f>+AM20</f>
        <v>700000.00000000012</v>
      </c>
      <c r="V16" s="1078"/>
      <c r="W16" s="1079"/>
      <c r="X16" s="1080"/>
      <c r="Y16" s="1081"/>
      <c r="Z16" s="1081"/>
      <c r="AA16" s="9"/>
      <c r="AC16" s="566" t="str">
        <f>+입력!F22</f>
        <v>WR</v>
      </c>
      <c r="AD16" s="871">
        <f t="shared" si="1"/>
        <v>6</v>
      </c>
      <c r="AE16" s="871"/>
      <c r="AF16" s="872">
        <v>11</v>
      </c>
      <c r="AG16" s="873"/>
      <c r="AH16" s="5"/>
      <c r="AI16" s="504">
        <f>+AK15</f>
        <v>5</v>
      </c>
      <c r="AJ16" s="503" t="s">
        <v>35</v>
      </c>
      <c r="AK16" s="549">
        <v>6</v>
      </c>
      <c r="AL16" s="678">
        <f>AK16-AI16</f>
        <v>1</v>
      </c>
      <c r="AM16" s="867">
        <f t="shared" si="2"/>
        <v>13000</v>
      </c>
      <c r="AN16" s="868"/>
      <c r="AO16" s="740" t="s">
        <v>888</v>
      </c>
      <c r="AP16" s="762"/>
      <c r="AQ16" s="11"/>
      <c r="AR16" s="28">
        <f>SUM(AL$11:$AL15)+(AL16/2)</f>
        <v>5.5</v>
      </c>
      <c r="AS16" s="1073"/>
      <c r="AT16" s="1073"/>
      <c r="AU16" s="1059" t="s">
        <v>65</v>
      </c>
      <c r="AV16" s="1060"/>
      <c r="AW16" s="1060"/>
      <c r="AX16" s="1060"/>
      <c r="AY16" s="1061"/>
      <c r="AZ16" s="1090" t="s">
        <v>66</v>
      </c>
      <c r="BA16" s="1091"/>
      <c r="BB16" s="1091"/>
      <c r="BC16" s="1091"/>
      <c r="BD16" s="1092"/>
      <c r="BE16" s="1085" t="s">
        <v>67</v>
      </c>
      <c r="BF16" s="1086"/>
      <c r="BG16" s="1086"/>
      <c r="BH16" s="1086"/>
      <c r="BI16" s="1087"/>
      <c r="BK16" s="525"/>
    </row>
    <row r="17" spans="1:75" ht="23.25" customHeight="1">
      <c r="A17" s="6"/>
      <c r="B17" s="946"/>
      <c r="C17" s="947"/>
      <c r="D17" s="950"/>
      <c r="E17" s="951"/>
      <c r="F17" s="952"/>
      <c r="G17" s="953"/>
      <c r="H17" s="942"/>
      <c r="I17" s="943"/>
      <c r="J17" s="944"/>
      <c r="K17" s="945"/>
      <c r="L17" s="946"/>
      <c r="M17" s="947"/>
      <c r="N17" s="948"/>
      <c r="O17" s="949"/>
      <c r="P17" s="948"/>
      <c r="Q17" s="1179"/>
      <c r="R17" s="949"/>
      <c r="S17" s="1088"/>
      <c r="T17" s="1089"/>
      <c r="U17" s="1077"/>
      <c r="V17" s="1078"/>
      <c r="W17" s="1079"/>
      <c r="X17" s="1080"/>
      <c r="Y17" s="1081"/>
      <c r="Z17" s="1081"/>
      <c r="AA17" s="9"/>
      <c r="AB17" s="9"/>
      <c r="AC17" s="566">
        <f>+입력!F23</f>
        <v>0</v>
      </c>
      <c r="AD17" s="871">
        <f t="shared" si="1"/>
        <v>7</v>
      </c>
      <c r="AE17" s="871"/>
      <c r="AF17" s="872">
        <v>214</v>
      </c>
      <c r="AG17" s="873"/>
      <c r="AH17" s="5"/>
      <c r="AI17" s="504">
        <f>AK16</f>
        <v>6</v>
      </c>
      <c r="AJ17" s="503" t="s">
        <v>35</v>
      </c>
      <c r="AK17" s="548">
        <v>7</v>
      </c>
      <c r="AL17" s="678">
        <f>AK17-AI17</f>
        <v>1</v>
      </c>
      <c r="AM17" s="867">
        <f t="shared" si="2"/>
        <v>299600</v>
      </c>
      <c r="AN17" s="868"/>
      <c r="AO17" s="740" t="s">
        <v>888</v>
      </c>
      <c r="AP17" s="762"/>
      <c r="AQ17" s="11"/>
      <c r="AR17" s="28">
        <f>SUM(AL$11:$AL16)+(AL17/2)</f>
        <v>6.5</v>
      </c>
      <c r="AS17" s="1073"/>
      <c r="AT17" s="1073"/>
      <c r="AU17" s="1149" t="s">
        <v>68</v>
      </c>
      <c r="AV17" s="1150"/>
      <c r="AW17" s="1150"/>
      <c r="AX17" s="1150"/>
      <c r="AY17" s="1151"/>
      <c r="AZ17" s="1090" t="s">
        <v>69</v>
      </c>
      <c r="BA17" s="1091"/>
      <c r="BB17" s="1091"/>
      <c r="BC17" s="1091"/>
      <c r="BD17" s="1092"/>
      <c r="BE17" s="522" t="s">
        <v>70</v>
      </c>
      <c r="BF17" s="523"/>
      <c r="BG17" s="523"/>
      <c r="BH17" s="523"/>
      <c r="BI17" s="524"/>
      <c r="BK17" s="525"/>
    </row>
    <row r="18" spans="1:75" ht="23.25" customHeight="1">
      <c r="A18" s="6"/>
      <c r="B18" s="946"/>
      <c r="C18" s="947"/>
      <c r="D18" s="950"/>
      <c r="E18" s="951"/>
      <c r="F18" s="952"/>
      <c r="G18" s="953"/>
      <c r="H18" s="942"/>
      <c r="I18" s="943"/>
      <c r="J18" s="944"/>
      <c r="K18" s="945"/>
      <c r="L18" s="946"/>
      <c r="M18" s="947"/>
      <c r="N18" s="948"/>
      <c r="O18" s="949"/>
      <c r="P18" s="948"/>
      <c r="Q18" s="1179"/>
      <c r="R18" s="949"/>
      <c r="S18" s="1088"/>
      <c r="T18" s="1089"/>
      <c r="U18" s="1077"/>
      <c r="V18" s="1078"/>
      <c r="W18" s="1079"/>
      <c r="X18" s="1080"/>
      <c r="Y18" s="1081"/>
      <c r="Z18" s="1081"/>
      <c r="AA18" s="9"/>
      <c r="AB18" s="9"/>
      <c r="AC18" s="566">
        <f>+입력!F24</f>
        <v>0</v>
      </c>
      <c r="AD18" s="871">
        <f t="shared" si="1"/>
        <v>8</v>
      </c>
      <c r="AE18" s="871"/>
      <c r="AF18" s="872">
        <f>50/4*30</f>
        <v>375</v>
      </c>
      <c r="AG18" s="873"/>
      <c r="AH18" s="5"/>
      <c r="AI18" s="504">
        <f>AK17</f>
        <v>7</v>
      </c>
      <c r="AJ18" s="503" t="s">
        <v>35</v>
      </c>
      <c r="AK18" s="549">
        <v>8</v>
      </c>
      <c r="AL18" s="678">
        <f>AK18-AI18</f>
        <v>1</v>
      </c>
      <c r="AM18" s="867">
        <f t="shared" si="2"/>
        <v>525000</v>
      </c>
      <c r="AN18" s="868"/>
      <c r="AO18" s="740" t="s">
        <v>615</v>
      </c>
      <c r="AP18" s="762" t="s">
        <v>74</v>
      </c>
      <c r="AQ18" s="11"/>
      <c r="AR18" s="28">
        <f>SUM(AL$11:$AL17)+(AL18/2)</f>
        <v>7.5</v>
      </c>
      <c r="AS18" s="1073"/>
      <c r="AT18" s="1073"/>
      <c r="AU18" s="1152"/>
      <c r="AV18" s="1153"/>
      <c r="AW18" s="1153"/>
      <c r="AX18" s="1153"/>
      <c r="AY18" s="1154"/>
      <c r="AZ18" s="1090" t="s">
        <v>505</v>
      </c>
      <c r="BA18" s="1091"/>
      <c r="BB18" s="1091"/>
      <c r="BC18" s="1091"/>
      <c r="BD18" s="1092"/>
      <c r="BE18" s="1074"/>
      <c r="BF18" s="1075"/>
      <c r="BG18" s="1075"/>
      <c r="BH18" s="1075"/>
      <c r="BI18" s="1076"/>
      <c r="BK18" s="525"/>
    </row>
    <row r="19" spans="1:75" ht="18" customHeight="1">
      <c r="A19" s="6"/>
      <c r="B19" s="1183" t="s">
        <v>77</v>
      </c>
      <c r="C19" s="858"/>
      <c r="D19" s="858"/>
      <c r="E19" s="858"/>
      <c r="F19" s="858"/>
      <c r="G19" s="858"/>
      <c r="H19" s="1184">
        <f>SUM(H14:J18)</f>
        <v>15</v>
      </c>
      <c r="I19" s="1184"/>
      <c r="J19" s="1184"/>
      <c r="K19" s="1185"/>
      <c r="L19" s="1185"/>
      <c r="M19" s="1185"/>
      <c r="N19" s="1186"/>
      <c r="O19" s="1186"/>
      <c r="P19" s="1180"/>
      <c r="Q19" s="1181"/>
      <c r="R19" s="1182"/>
      <c r="S19" s="1187"/>
      <c r="T19" s="1187"/>
      <c r="U19" s="955"/>
      <c r="V19" s="955"/>
      <c r="W19" s="955"/>
      <c r="X19" s="955"/>
      <c r="Y19" s="955"/>
      <c r="Z19" s="956"/>
      <c r="AA19" s="9"/>
      <c r="AB19" s="9"/>
      <c r="AC19" s="2"/>
      <c r="AD19" s="871">
        <f t="shared" si="1"/>
        <v>9</v>
      </c>
      <c r="AE19" s="871"/>
      <c r="AF19" s="872">
        <f>50/3*30</f>
        <v>500.00000000000006</v>
      </c>
      <c r="AG19" s="873"/>
      <c r="AH19" s="5"/>
      <c r="AI19" s="504">
        <f>AK18</f>
        <v>8</v>
      </c>
      <c r="AJ19" s="503" t="s">
        <v>35</v>
      </c>
      <c r="AK19" s="549">
        <v>9</v>
      </c>
      <c r="AL19" s="678">
        <f>AK19-AI19</f>
        <v>1</v>
      </c>
      <c r="AM19" s="867">
        <f t="shared" si="2"/>
        <v>700000.00000000012</v>
      </c>
      <c r="AN19" s="868"/>
      <c r="AO19" s="740"/>
      <c r="AP19" s="762"/>
      <c r="AQ19" s="11"/>
      <c r="AR19" s="28">
        <f>SUM(AL$11:$AL18)+(AL19/2)</f>
        <v>8.5</v>
      </c>
      <c r="AS19" s="1073"/>
      <c r="AT19" s="1073"/>
      <c r="AU19" s="1155"/>
      <c r="AV19" s="1156"/>
      <c r="AW19" s="1156"/>
      <c r="AX19" s="1156"/>
      <c r="AY19" s="1157"/>
      <c r="AZ19" s="1090" t="s">
        <v>506</v>
      </c>
      <c r="BA19" s="1091"/>
      <c r="BB19" s="1091"/>
      <c r="BC19" s="1091"/>
      <c r="BD19" s="1092"/>
      <c r="BE19" s="1074"/>
      <c r="BF19" s="1075"/>
      <c r="BG19" s="1075"/>
      <c r="BH19" s="1075"/>
      <c r="BI19" s="1076"/>
      <c r="BK19" s="525"/>
    </row>
    <row r="20" spans="1:75" ht="17.25" customHeight="1">
      <c r="A20" s="6"/>
      <c r="B20" s="46"/>
      <c r="C20" s="46"/>
      <c r="D20" s="47"/>
      <c r="E20" s="47"/>
      <c r="F20" s="46"/>
      <c r="G20" s="47"/>
      <c r="H20" s="47"/>
      <c r="I20" s="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50"/>
      <c r="Z20" s="50"/>
      <c r="AA20" s="51"/>
      <c r="AD20" s="871">
        <f t="shared" si="1"/>
        <v>10</v>
      </c>
      <c r="AE20" s="871"/>
      <c r="AF20" s="872">
        <f>50/3*30</f>
        <v>500.00000000000006</v>
      </c>
      <c r="AG20" s="873"/>
      <c r="AH20" s="5"/>
      <c r="AI20" s="504">
        <f>AK19</f>
        <v>9</v>
      </c>
      <c r="AJ20" s="503" t="s">
        <v>35</v>
      </c>
      <c r="AK20" s="548">
        <v>10</v>
      </c>
      <c r="AL20" s="678">
        <f>AK20-AI20</f>
        <v>1</v>
      </c>
      <c r="AM20" s="867">
        <f t="shared" si="2"/>
        <v>700000.00000000012</v>
      </c>
      <c r="AN20" s="868"/>
      <c r="AO20" s="740"/>
      <c r="AP20" s="762"/>
      <c r="AQ20" s="11"/>
      <c r="AR20" s="28">
        <f>SUM(AL$11:$AL19)+(AL20/2)</f>
        <v>9.5</v>
      </c>
      <c r="AS20" s="1073"/>
      <c r="AT20" s="1073"/>
      <c r="AU20" s="1194" t="s">
        <v>507</v>
      </c>
      <c r="AV20" s="1195"/>
      <c r="AW20" s="1195"/>
      <c r="AX20" s="1195"/>
      <c r="AY20" s="1196"/>
      <c r="AZ20" s="1074" t="s">
        <v>508</v>
      </c>
      <c r="BA20" s="1075"/>
      <c r="BB20" s="1075"/>
      <c r="BC20" s="1075"/>
      <c r="BD20" s="1076"/>
      <c r="BE20" s="1074"/>
      <c r="BF20" s="1075"/>
      <c r="BG20" s="1075"/>
      <c r="BH20" s="1075"/>
      <c r="BI20" s="1076"/>
      <c r="BK20" s="525"/>
    </row>
    <row r="21" spans="1:75" ht="17.25" customHeight="1">
      <c r="A21" s="6"/>
      <c r="B21" s="55"/>
      <c r="C21" s="46"/>
      <c r="D21" s="47"/>
      <c r="E21" s="47"/>
      <c r="F21" s="46"/>
      <c r="G21" s="47"/>
      <c r="H21" s="47"/>
      <c r="I21" s="8"/>
      <c r="J21" s="46"/>
      <c r="K21" s="55"/>
      <c r="L21" s="46"/>
      <c r="M21" s="46"/>
      <c r="N21" s="9"/>
      <c r="O21" s="9"/>
      <c r="P21" s="9"/>
      <c r="Q21" s="9"/>
      <c r="R21" s="9"/>
      <c r="S21" s="9"/>
      <c r="T21" s="9"/>
      <c r="U21" s="9"/>
      <c r="V21" s="9"/>
      <c r="W21" s="9"/>
      <c r="X21" s="58"/>
      <c r="Y21" s="544"/>
      <c r="Z21" s="544"/>
      <c r="AA21" s="544"/>
      <c r="AB21" s="46"/>
      <c r="AC21" s="2"/>
      <c r="AD21" s="871">
        <f t="shared" si="1"/>
        <v>11</v>
      </c>
      <c r="AE21" s="871"/>
      <c r="AF21" s="872">
        <f>50/2*30</f>
        <v>750</v>
      </c>
      <c r="AG21" s="873"/>
      <c r="AH21" s="5"/>
      <c r="AI21" s="504">
        <f t="shared" ref="AI21:AI37" si="5">AK20</f>
        <v>10</v>
      </c>
      <c r="AJ21" s="503" t="s">
        <v>35</v>
      </c>
      <c r="AK21" s="549">
        <v>11</v>
      </c>
      <c r="AL21" s="678">
        <f t="shared" ref="AL21:AL37" si="6">AK21-AI21</f>
        <v>1</v>
      </c>
      <c r="AM21" s="867">
        <f t="shared" si="2"/>
        <v>1050000</v>
      </c>
      <c r="AN21" s="868"/>
      <c r="AO21" s="740"/>
      <c r="AP21" s="762"/>
      <c r="AQ21" s="11"/>
      <c r="AR21" s="28">
        <f>SUM(AL$11:$AL20)+(AL21/2)</f>
        <v>10.5</v>
      </c>
      <c r="AS21" s="1073"/>
      <c r="AT21" s="1073"/>
      <c r="AU21" s="1149" t="s">
        <v>72</v>
      </c>
      <c r="AV21" s="1150"/>
      <c r="AW21" s="1150"/>
      <c r="AX21" s="1150"/>
      <c r="AY21" s="1151"/>
      <c r="AZ21" s="1074" t="s">
        <v>73</v>
      </c>
      <c r="BA21" s="1075"/>
      <c r="BB21" s="1075"/>
      <c r="BC21" s="1075"/>
      <c r="BD21" s="1076"/>
      <c r="BE21" s="1074"/>
      <c r="BF21" s="1075"/>
      <c r="BG21" s="1075"/>
      <c r="BH21" s="1075"/>
      <c r="BI21" s="1076"/>
      <c r="BK21" s="525"/>
    </row>
    <row r="22" spans="1:75" ht="16.5" customHeight="1">
      <c r="A22" s="6"/>
      <c r="B22" s="55"/>
      <c r="C22" s="46"/>
      <c r="D22" s="47"/>
      <c r="E22" s="47"/>
      <c r="F22" s="46"/>
      <c r="G22" s="47"/>
      <c r="H22" s="47"/>
      <c r="I22" s="8"/>
      <c r="J22" s="46"/>
      <c r="K22" s="59"/>
      <c r="L22" s="60"/>
      <c r="M22" s="60"/>
      <c r="N22" s="61"/>
      <c r="O22" s="61"/>
      <c r="P22" s="61"/>
      <c r="Q22" s="9"/>
      <c r="R22" s="9"/>
      <c r="S22" s="9"/>
      <c r="T22" s="9"/>
      <c r="U22" s="9"/>
      <c r="V22" s="9"/>
      <c r="W22" s="9"/>
      <c r="X22" s="58"/>
      <c r="Y22" s="954"/>
      <c r="Z22" s="954"/>
      <c r="AA22" s="544"/>
      <c r="AB22" s="46"/>
      <c r="AC22" s="9"/>
      <c r="AD22" s="871">
        <f t="shared" si="1"/>
        <v>12</v>
      </c>
      <c r="AE22" s="871"/>
      <c r="AF22" s="872">
        <f t="shared" ref="AF22:AF37" si="7">50/2*30</f>
        <v>750</v>
      </c>
      <c r="AG22" s="873"/>
      <c r="AH22" s="5"/>
      <c r="AI22" s="504">
        <f t="shared" si="5"/>
        <v>11</v>
      </c>
      <c r="AJ22" s="503" t="s">
        <v>35</v>
      </c>
      <c r="AK22" s="549">
        <v>12</v>
      </c>
      <c r="AL22" s="678">
        <f t="shared" si="6"/>
        <v>1</v>
      </c>
      <c r="AM22" s="867">
        <f t="shared" si="2"/>
        <v>1050000</v>
      </c>
      <c r="AN22" s="868"/>
      <c r="AO22" s="740"/>
      <c r="AP22" s="762"/>
      <c r="AQ22" s="11"/>
      <c r="AR22" s="28">
        <f>SUM(AL$11:$AL21)+(AL22/2)</f>
        <v>11.5</v>
      </c>
      <c r="AS22" s="1073"/>
      <c r="AT22" s="1073"/>
      <c r="AU22" s="1152"/>
      <c r="AV22" s="1153"/>
      <c r="AW22" s="1153"/>
      <c r="AX22" s="1153"/>
      <c r="AY22" s="1154"/>
      <c r="AZ22" s="1074" t="s">
        <v>509</v>
      </c>
      <c r="BA22" s="1075"/>
      <c r="BB22" s="1075"/>
      <c r="BC22" s="1075"/>
      <c r="BD22" s="1076"/>
      <c r="BE22" s="1074"/>
      <c r="BF22" s="1075"/>
      <c r="BG22" s="1075"/>
      <c r="BH22" s="1075"/>
      <c r="BI22" s="1076"/>
      <c r="BK22" s="525"/>
    </row>
    <row r="23" spans="1:75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D23" s="871">
        <f t="shared" si="1"/>
        <v>13</v>
      </c>
      <c r="AE23" s="871"/>
      <c r="AF23" s="872">
        <f t="shared" si="7"/>
        <v>750</v>
      </c>
      <c r="AG23" s="873"/>
      <c r="AH23" s="5"/>
      <c r="AI23" s="504">
        <f t="shared" si="5"/>
        <v>12</v>
      </c>
      <c r="AJ23" s="503" t="s">
        <v>35</v>
      </c>
      <c r="AK23" s="548">
        <v>13</v>
      </c>
      <c r="AL23" s="678">
        <f t="shared" si="6"/>
        <v>1</v>
      </c>
      <c r="AM23" s="867">
        <f t="shared" si="2"/>
        <v>1050000</v>
      </c>
      <c r="AN23" s="868"/>
      <c r="AO23" s="740"/>
      <c r="AP23" s="762"/>
      <c r="AR23" s="28">
        <f>SUM(AL$11:$AL22)+(AL23/2)</f>
        <v>12.5</v>
      </c>
      <c r="AS23" s="1073"/>
      <c r="AT23" s="1073"/>
      <c r="AU23" s="1155"/>
      <c r="AV23" s="1156"/>
      <c r="AW23" s="1156"/>
      <c r="AX23" s="1156"/>
      <c r="AY23" s="1157"/>
      <c r="AZ23" s="1074" t="s">
        <v>510</v>
      </c>
      <c r="BA23" s="1075"/>
      <c r="BB23" s="1075"/>
      <c r="BC23" s="1075"/>
      <c r="BD23" s="1076"/>
      <c r="BE23" s="1074"/>
      <c r="BF23" s="1075"/>
      <c r="BG23" s="1075"/>
      <c r="BH23" s="1075"/>
      <c r="BI23" s="1076"/>
      <c r="BK23" s="525"/>
    </row>
    <row r="24" spans="1:75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D24" s="871">
        <f t="shared" si="1"/>
        <v>14</v>
      </c>
      <c r="AE24" s="871"/>
      <c r="AF24" s="872">
        <f t="shared" si="7"/>
        <v>750</v>
      </c>
      <c r="AG24" s="873"/>
      <c r="AH24" s="5"/>
      <c r="AI24" s="504">
        <f t="shared" si="5"/>
        <v>13</v>
      </c>
      <c r="AJ24" s="503" t="s">
        <v>35</v>
      </c>
      <c r="AK24" s="549">
        <v>14</v>
      </c>
      <c r="AL24" s="678">
        <f t="shared" si="6"/>
        <v>1</v>
      </c>
      <c r="AM24" s="867">
        <f t="shared" si="2"/>
        <v>1050000</v>
      </c>
      <c r="AN24" s="868"/>
      <c r="AO24" s="740"/>
      <c r="AP24" s="762"/>
      <c r="AR24" s="28">
        <f>SUM(AL$11:$AL23)+(AL24/2)</f>
        <v>13.5</v>
      </c>
      <c r="AS24" s="1073"/>
      <c r="AT24" s="1073"/>
      <c r="AU24" s="1059" t="s">
        <v>75</v>
      </c>
      <c r="AV24" s="1060"/>
      <c r="AW24" s="1060"/>
      <c r="AX24" s="1060"/>
      <c r="AY24" s="1061"/>
      <c r="AZ24" s="1074" t="s">
        <v>511</v>
      </c>
      <c r="BA24" s="1075"/>
      <c r="BB24" s="1075"/>
      <c r="BC24" s="1075"/>
      <c r="BD24" s="1076"/>
      <c r="BE24" s="1074" t="s">
        <v>76</v>
      </c>
      <c r="BF24" s="1075"/>
      <c r="BG24" s="1075"/>
      <c r="BH24" s="1075"/>
      <c r="BI24" s="1076"/>
      <c r="BK24" s="525"/>
    </row>
    <row r="25" spans="1:75" ht="17.2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D25" s="871">
        <f t="shared" si="1"/>
        <v>15</v>
      </c>
      <c r="AE25" s="871"/>
      <c r="AF25" s="872">
        <f t="shared" si="7"/>
        <v>750</v>
      </c>
      <c r="AG25" s="873"/>
      <c r="AH25" s="9"/>
      <c r="AI25" s="504">
        <f t="shared" si="5"/>
        <v>14</v>
      </c>
      <c r="AJ25" s="503" t="s">
        <v>35</v>
      </c>
      <c r="AK25" s="549">
        <v>15</v>
      </c>
      <c r="AL25" s="678">
        <f t="shared" si="6"/>
        <v>1</v>
      </c>
      <c r="AM25" s="867">
        <f t="shared" si="2"/>
        <v>1050000</v>
      </c>
      <c r="AN25" s="868"/>
      <c r="AO25" s="740"/>
      <c r="AP25" s="762"/>
      <c r="AR25" s="28">
        <f>SUM(AL$11:$AL24)+(AL25/2)</f>
        <v>14.5</v>
      </c>
      <c r="AS25" s="1073"/>
      <c r="AT25" s="1073"/>
      <c r="AU25" s="1149" t="s">
        <v>78</v>
      </c>
      <c r="AV25" s="1150"/>
      <c r="AW25" s="1150"/>
      <c r="AX25" s="1150"/>
      <c r="AY25" s="1151"/>
      <c r="AZ25" s="1122" t="s">
        <v>79</v>
      </c>
      <c r="BA25" s="1123"/>
      <c r="BB25" s="1123"/>
      <c r="BC25" s="1123"/>
      <c r="BD25" s="1124"/>
      <c r="BE25" s="1122" t="s">
        <v>80</v>
      </c>
      <c r="BF25" s="1123"/>
      <c r="BG25" s="1123"/>
      <c r="BH25" s="1123"/>
      <c r="BI25" s="1124"/>
      <c r="BK25" s="525"/>
    </row>
    <row r="26" spans="1:75" ht="17.2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D26" s="871">
        <f t="shared" si="1"/>
        <v>16</v>
      </c>
      <c r="AE26" s="871"/>
      <c r="AF26" s="872">
        <f t="shared" si="7"/>
        <v>750</v>
      </c>
      <c r="AG26" s="873"/>
      <c r="AH26" s="5"/>
      <c r="AI26" s="504">
        <f t="shared" si="5"/>
        <v>15</v>
      </c>
      <c r="AJ26" s="503" t="s">
        <v>35</v>
      </c>
      <c r="AK26" s="548">
        <v>16</v>
      </c>
      <c r="AL26" s="678">
        <f t="shared" si="6"/>
        <v>1</v>
      </c>
      <c r="AM26" s="867">
        <f t="shared" si="2"/>
        <v>1050000</v>
      </c>
      <c r="AN26" s="868"/>
      <c r="AO26" s="740"/>
      <c r="AP26" s="762"/>
      <c r="AR26" s="28">
        <f>SUM(AL$11:$AL25)+(AL26/2)</f>
        <v>15.5</v>
      </c>
      <c r="AS26" s="1073"/>
      <c r="AT26" s="1073"/>
      <c r="AU26" s="1155"/>
      <c r="AV26" s="1156"/>
      <c r="AW26" s="1156"/>
      <c r="AX26" s="1156"/>
      <c r="AY26" s="1157"/>
      <c r="AZ26" s="1192" t="s">
        <v>82</v>
      </c>
      <c r="BA26" s="1191"/>
      <c r="BB26" s="1191"/>
      <c r="BC26" s="1191"/>
      <c r="BD26" s="1193"/>
      <c r="BE26" s="1192" t="s">
        <v>83</v>
      </c>
      <c r="BF26" s="1191"/>
      <c r="BG26" s="1191"/>
      <c r="BH26" s="1191"/>
      <c r="BI26" s="1193"/>
      <c r="BK26" s="525"/>
      <c r="BN26" s="1063"/>
      <c r="BO26" s="1063"/>
      <c r="BP26" s="1063"/>
      <c r="BQ26" s="1063"/>
      <c r="BR26" s="1063"/>
      <c r="BS26" s="1063"/>
      <c r="BT26" s="1063"/>
      <c r="BU26" s="1063"/>
      <c r="BV26" s="1063"/>
      <c r="BW26" s="1063"/>
    </row>
    <row r="27" spans="1:75" ht="28.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D27" s="871">
        <f t="shared" si="1"/>
        <v>17</v>
      </c>
      <c r="AE27" s="871"/>
      <c r="AF27" s="872">
        <f t="shared" si="7"/>
        <v>750</v>
      </c>
      <c r="AG27" s="873"/>
      <c r="AH27" s="5"/>
      <c r="AI27" s="504">
        <f t="shared" si="5"/>
        <v>16</v>
      </c>
      <c r="AJ27" s="503" t="s">
        <v>35</v>
      </c>
      <c r="AK27" s="549">
        <v>17</v>
      </c>
      <c r="AL27" s="678">
        <f t="shared" si="6"/>
        <v>1</v>
      </c>
      <c r="AM27" s="867">
        <f t="shared" si="2"/>
        <v>1050000</v>
      </c>
      <c r="AN27" s="868"/>
      <c r="AO27" s="740"/>
      <c r="AP27" s="762"/>
      <c r="AR27" s="28">
        <f>SUM(AL$11:$AL26)+(AL27/2)</f>
        <v>16.5</v>
      </c>
      <c r="AS27" s="1073"/>
      <c r="AT27" s="1073"/>
      <c r="AU27" s="1059" t="s">
        <v>85</v>
      </c>
      <c r="AV27" s="1060"/>
      <c r="AW27" s="1060"/>
      <c r="AX27" s="1060"/>
      <c r="AY27" s="1061"/>
      <c r="AZ27" s="1199" t="s">
        <v>86</v>
      </c>
      <c r="BA27" s="1200"/>
      <c r="BB27" s="1200"/>
      <c r="BC27" s="1200"/>
      <c r="BD27" s="1201"/>
      <c r="BE27" s="1199" t="s">
        <v>87</v>
      </c>
      <c r="BF27" s="1200"/>
      <c r="BG27" s="1200"/>
      <c r="BH27" s="1200"/>
      <c r="BI27" s="1201"/>
      <c r="BN27" s="1203"/>
      <c r="BO27" s="1203"/>
      <c r="BP27" s="1203"/>
      <c r="BQ27" s="1203"/>
      <c r="BR27" s="1203"/>
      <c r="BS27" s="1063"/>
      <c r="BT27" s="1063"/>
      <c r="BU27" s="1063"/>
      <c r="BV27" s="1063"/>
      <c r="BW27" s="1063"/>
    </row>
    <row r="28" spans="1:75" ht="15.7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D28" s="871">
        <f t="shared" si="1"/>
        <v>18</v>
      </c>
      <c r="AE28" s="871"/>
      <c r="AF28" s="872">
        <f t="shared" si="7"/>
        <v>750</v>
      </c>
      <c r="AG28" s="873"/>
      <c r="AI28" s="504">
        <f t="shared" si="5"/>
        <v>17</v>
      </c>
      <c r="AJ28" s="503" t="s">
        <v>35</v>
      </c>
      <c r="AK28" s="549">
        <v>18</v>
      </c>
      <c r="AL28" s="678">
        <f t="shared" si="6"/>
        <v>1</v>
      </c>
      <c r="AM28" s="867">
        <f t="shared" si="2"/>
        <v>1050000</v>
      </c>
      <c r="AN28" s="868"/>
      <c r="AO28" s="740"/>
      <c r="AP28" s="762"/>
      <c r="AR28" s="28">
        <f>SUM(AL$11:$AL27)+(AL28/2)</f>
        <v>17.5</v>
      </c>
      <c r="AS28" s="1073"/>
      <c r="AT28" s="1073"/>
      <c r="AU28" s="518"/>
      <c r="AV28" s="519"/>
      <c r="AW28" s="519"/>
      <c r="AX28" s="519"/>
      <c r="AY28" s="520"/>
      <c r="AZ28" s="516" t="s">
        <v>92</v>
      </c>
      <c r="BA28" s="517"/>
      <c r="BB28" s="517"/>
      <c r="BC28" s="517"/>
      <c r="BD28" s="521"/>
      <c r="BE28" s="516" t="s">
        <v>93</v>
      </c>
      <c r="BF28" s="517"/>
      <c r="BG28" s="517"/>
      <c r="BH28" s="517"/>
      <c r="BI28" s="521"/>
      <c r="BN28" s="1191"/>
      <c r="BO28" s="1191"/>
      <c r="BP28" s="1191"/>
      <c r="BQ28" s="1191"/>
      <c r="BR28" s="1191"/>
      <c r="BS28" s="1063"/>
      <c r="BT28" s="1063"/>
      <c r="BU28" s="1063"/>
      <c r="BV28" s="1063"/>
      <c r="BW28" s="1063"/>
    </row>
    <row r="29" spans="1:75" ht="15.7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D29" s="871">
        <f t="shared" si="1"/>
        <v>19</v>
      </c>
      <c r="AE29" s="871"/>
      <c r="AF29" s="872">
        <f t="shared" si="7"/>
        <v>750</v>
      </c>
      <c r="AG29" s="873"/>
      <c r="AI29" s="504">
        <f t="shared" si="5"/>
        <v>18</v>
      </c>
      <c r="AJ29" s="503" t="s">
        <v>35</v>
      </c>
      <c r="AK29" s="548">
        <v>19</v>
      </c>
      <c r="AL29" s="678">
        <f t="shared" si="6"/>
        <v>1</v>
      </c>
      <c r="AM29" s="867">
        <f t="shared" si="2"/>
        <v>1050000</v>
      </c>
      <c r="AN29" s="868"/>
      <c r="AO29" s="740"/>
      <c r="AP29" s="762"/>
      <c r="AR29" s="28">
        <f>SUM(AL$11:$AL28)+(AL29/2)</f>
        <v>18.5</v>
      </c>
      <c r="AS29" s="1073"/>
      <c r="AT29" s="1073"/>
      <c r="AU29" s="1153"/>
      <c r="AV29" s="1153"/>
      <c r="AW29" s="1153"/>
      <c r="AX29" s="1153"/>
      <c r="AY29" s="1153"/>
      <c r="AZ29" s="1063"/>
      <c r="BA29" s="1063"/>
      <c r="BB29" s="1063"/>
      <c r="BC29" s="1063"/>
      <c r="BD29" s="1063"/>
      <c r="BE29" s="1063"/>
      <c r="BF29" s="1063"/>
      <c r="BG29" s="1063"/>
      <c r="BH29" s="1063"/>
      <c r="BI29" s="1063"/>
      <c r="BN29" s="1191"/>
      <c r="BO29" s="1191"/>
      <c r="BP29" s="1191"/>
      <c r="BQ29" s="1191"/>
      <c r="BR29" s="1191"/>
      <c r="BS29" s="1063"/>
      <c r="BT29" s="1063"/>
      <c r="BU29" s="1063"/>
      <c r="BV29" s="1063"/>
      <c r="BW29" s="1063"/>
    </row>
    <row r="30" spans="1:75" ht="17.25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D30" s="871">
        <f t="shared" si="1"/>
        <v>20</v>
      </c>
      <c r="AE30" s="871"/>
      <c r="AF30" s="872">
        <f t="shared" si="7"/>
        <v>750</v>
      </c>
      <c r="AG30" s="873"/>
      <c r="AI30" s="504">
        <f t="shared" si="5"/>
        <v>19</v>
      </c>
      <c r="AJ30" s="503" t="s">
        <v>35</v>
      </c>
      <c r="AK30" s="549">
        <v>20</v>
      </c>
      <c r="AL30" s="678">
        <f t="shared" si="6"/>
        <v>1</v>
      </c>
      <c r="AM30" s="867">
        <f t="shared" si="2"/>
        <v>1050000</v>
      </c>
      <c r="AN30" s="868"/>
      <c r="AO30" s="740"/>
      <c r="AP30" s="762"/>
      <c r="AR30" s="28">
        <f>SUM(AL$11:$AL29)+(AL30/2)</f>
        <v>19.5</v>
      </c>
      <c r="AS30" s="1073"/>
      <c r="AT30" s="1073"/>
      <c r="AU30" s="1188"/>
      <c r="AV30" s="1189"/>
      <c r="AX30" s="683"/>
      <c r="AY30" s="684"/>
      <c r="AZ30" s="685"/>
      <c r="BA30" s="1190"/>
      <c r="BB30" s="1190"/>
      <c r="BC30" s="686"/>
      <c r="BD30" s="687"/>
      <c r="BE30" s="688"/>
      <c r="BG30" s="689"/>
      <c r="BH30" s="40"/>
      <c r="BI30" s="1153"/>
      <c r="BJ30" s="1153"/>
      <c r="BK30" s="1153"/>
      <c r="BL30" s="1153"/>
      <c r="BM30" s="1153"/>
      <c r="BN30" s="1191"/>
      <c r="BO30" s="1191"/>
      <c r="BP30" s="1191"/>
      <c r="BQ30" s="1191"/>
      <c r="BR30" s="1191"/>
      <c r="BS30" s="1191"/>
      <c r="BT30" s="1191"/>
      <c r="BU30" s="1191"/>
      <c r="BV30" s="1191"/>
      <c r="BW30" s="1191"/>
    </row>
    <row r="31" spans="1:75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D31" s="871">
        <f t="shared" si="1"/>
        <v>21</v>
      </c>
      <c r="AE31" s="871"/>
      <c r="AF31" s="872">
        <f t="shared" si="7"/>
        <v>750</v>
      </c>
      <c r="AG31" s="873"/>
      <c r="AI31" s="504">
        <f t="shared" si="5"/>
        <v>20</v>
      </c>
      <c r="AJ31" s="503" t="s">
        <v>35</v>
      </c>
      <c r="AK31" s="549">
        <v>21</v>
      </c>
      <c r="AL31" s="678">
        <f t="shared" si="6"/>
        <v>1</v>
      </c>
      <c r="AM31" s="867">
        <f t="shared" si="2"/>
        <v>1050000</v>
      </c>
      <c r="AN31" s="868"/>
      <c r="AO31" s="740"/>
      <c r="AP31" s="762"/>
      <c r="AR31" s="28">
        <f>SUM(AL$11:$AL30)+(AL31/2)</f>
        <v>20.5</v>
      </c>
      <c r="AS31" s="1073"/>
      <c r="AT31" s="1073"/>
      <c r="AU31" s="1188"/>
      <c r="AV31" s="1189"/>
      <c r="AX31" s="683"/>
      <c r="AY31" s="684"/>
      <c r="AZ31" s="685"/>
      <c r="BA31" s="1190"/>
      <c r="BB31" s="1190"/>
      <c r="BC31" s="686"/>
      <c r="BD31" s="687"/>
      <c r="BE31" s="688"/>
      <c r="BG31" s="689"/>
      <c r="BH31" s="40"/>
      <c r="BI31" s="1153"/>
      <c r="BJ31" s="1153"/>
      <c r="BK31" s="1153"/>
      <c r="BL31" s="1153"/>
      <c r="BM31" s="1153"/>
      <c r="BN31" s="1191"/>
      <c r="BO31" s="1191"/>
      <c r="BP31" s="1191"/>
      <c r="BQ31" s="1191"/>
      <c r="BR31" s="1191"/>
      <c r="BS31" s="1063"/>
      <c r="BT31" s="1063"/>
      <c r="BU31" s="1063"/>
      <c r="BV31" s="1063"/>
      <c r="BW31" s="1063"/>
    </row>
    <row r="32" spans="1:75" ht="30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D32" s="871">
        <f t="shared" si="1"/>
        <v>22</v>
      </c>
      <c r="AE32" s="871"/>
      <c r="AF32" s="872">
        <f t="shared" si="7"/>
        <v>750</v>
      </c>
      <c r="AG32" s="873"/>
      <c r="AI32" s="504">
        <f t="shared" si="5"/>
        <v>21</v>
      </c>
      <c r="AJ32" s="503" t="s">
        <v>35</v>
      </c>
      <c r="AK32" s="548">
        <v>22</v>
      </c>
      <c r="AL32" s="678">
        <f t="shared" si="6"/>
        <v>1</v>
      </c>
      <c r="AM32" s="867">
        <f t="shared" si="2"/>
        <v>1050000</v>
      </c>
      <c r="AN32" s="868"/>
      <c r="AO32" s="740"/>
      <c r="AP32" s="762"/>
      <c r="AR32" s="28">
        <f>SUM(AL$11:$AL31)+(AL32/2)</f>
        <v>21.5</v>
      </c>
      <c r="AS32" s="1073"/>
      <c r="AT32" s="1073"/>
      <c r="AU32" s="1188"/>
      <c r="AV32" s="1189"/>
      <c r="AX32" s="683"/>
      <c r="AY32" s="684"/>
      <c r="AZ32" s="685"/>
      <c r="BA32" s="1190"/>
      <c r="BB32" s="1190"/>
      <c r="BC32" s="686"/>
      <c r="BD32" s="687"/>
      <c r="BE32" s="688"/>
      <c r="BG32" s="689"/>
      <c r="BH32" s="40"/>
      <c r="BI32" s="1153"/>
      <c r="BJ32" s="1153"/>
      <c r="BK32" s="1153"/>
      <c r="BL32" s="1153"/>
      <c r="BM32" s="1153"/>
      <c r="BN32" s="1191"/>
      <c r="BO32" s="1191"/>
      <c r="BP32" s="1191"/>
      <c r="BQ32" s="1191"/>
      <c r="BR32" s="1191"/>
      <c r="BS32" s="1191"/>
      <c r="BT32" s="1191"/>
      <c r="BU32" s="1191"/>
      <c r="BV32" s="1191"/>
      <c r="BW32" s="1191"/>
    </row>
    <row r="33" spans="1:65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D33" s="871">
        <f t="shared" si="1"/>
        <v>23</v>
      </c>
      <c r="AE33" s="871"/>
      <c r="AF33" s="872">
        <f t="shared" si="7"/>
        <v>750</v>
      </c>
      <c r="AG33" s="873"/>
      <c r="AI33" s="504">
        <f t="shared" si="5"/>
        <v>22</v>
      </c>
      <c r="AJ33" s="503" t="s">
        <v>35</v>
      </c>
      <c r="AK33" s="549">
        <v>23</v>
      </c>
      <c r="AL33" s="678">
        <f t="shared" si="6"/>
        <v>1</v>
      </c>
      <c r="AM33" s="867">
        <f t="shared" si="2"/>
        <v>1050000</v>
      </c>
      <c r="AN33" s="868"/>
      <c r="AO33" s="740"/>
      <c r="AP33" s="762"/>
      <c r="AR33" s="28">
        <f>SUM(AL$11:$AL32)+(AL33/2)</f>
        <v>22.5</v>
      </c>
      <c r="AU33" s="1188"/>
      <c r="AV33" s="1189"/>
      <c r="AX33" s="683"/>
      <c r="AY33" s="684"/>
      <c r="AZ33" s="685"/>
      <c r="BA33" s="1190"/>
      <c r="BB33" s="1190"/>
      <c r="BC33" s="686"/>
      <c r="BD33" s="687"/>
      <c r="BE33" s="688"/>
      <c r="BG33" s="689"/>
      <c r="BH33" s="40"/>
      <c r="BI33" s="1153"/>
      <c r="BJ33" s="1153"/>
      <c r="BK33" s="1153"/>
      <c r="BL33" s="1153"/>
      <c r="BM33" s="1153"/>
    </row>
    <row r="34" spans="1:65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  <c r="AD34" s="871">
        <f t="shared" si="1"/>
        <v>24</v>
      </c>
      <c r="AE34" s="871"/>
      <c r="AF34" s="872">
        <f t="shared" si="7"/>
        <v>750</v>
      </c>
      <c r="AG34" s="873"/>
      <c r="AI34" s="504">
        <f t="shared" si="5"/>
        <v>23</v>
      </c>
      <c r="AJ34" s="503" t="s">
        <v>35</v>
      </c>
      <c r="AK34" s="549">
        <v>24</v>
      </c>
      <c r="AL34" s="678">
        <f t="shared" si="6"/>
        <v>1</v>
      </c>
      <c r="AM34" s="867">
        <f t="shared" si="2"/>
        <v>1050000</v>
      </c>
      <c r="AN34" s="868"/>
      <c r="AO34" s="740"/>
      <c r="AP34" s="762"/>
      <c r="AR34" s="28">
        <f>SUM(AL$11:$AL33)+(AL34/2)</f>
        <v>23.5</v>
      </c>
      <c r="AU34" s="1188"/>
      <c r="AV34" s="1189"/>
      <c r="AX34" s="683"/>
      <c r="AY34" s="684"/>
      <c r="AZ34" s="685"/>
      <c r="BA34" s="1190"/>
      <c r="BB34" s="1190"/>
      <c r="BC34" s="686"/>
      <c r="BD34" s="687"/>
      <c r="BE34" s="688"/>
      <c r="BG34" s="689"/>
      <c r="BH34" s="40"/>
      <c r="BI34" s="1153"/>
      <c r="BJ34" s="1153"/>
      <c r="BK34" s="1153"/>
      <c r="BL34" s="1153"/>
      <c r="BM34" s="1153"/>
    </row>
    <row r="35" spans="1:65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  <c r="AD35" s="871">
        <f t="shared" si="1"/>
        <v>25</v>
      </c>
      <c r="AE35" s="871"/>
      <c r="AF35" s="872">
        <f t="shared" si="7"/>
        <v>750</v>
      </c>
      <c r="AG35" s="873"/>
      <c r="AI35" s="504">
        <f t="shared" si="5"/>
        <v>24</v>
      </c>
      <c r="AJ35" s="503" t="s">
        <v>35</v>
      </c>
      <c r="AK35" s="548">
        <v>25</v>
      </c>
      <c r="AL35" s="678">
        <f t="shared" si="6"/>
        <v>1</v>
      </c>
      <c r="AM35" s="867">
        <f t="shared" si="2"/>
        <v>1050000</v>
      </c>
      <c r="AN35" s="868"/>
      <c r="AO35" s="740"/>
      <c r="AP35" s="762"/>
      <c r="AR35" s="28">
        <f>SUM(AL$11:$AL34)+(AL35/2)</f>
        <v>24.5</v>
      </c>
      <c r="AU35" s="1188"/>
      <c r="AV35" s="1189"/>
      <c r="AX35" s="683"/>
      <c r="AY35" s="684"/>
      <c r="AZ35" s="685"/>
      <c r="BA35" s="1190"/>
      <c r="BB35" s="1190"/>
      <c r="BC35" s="686"/>
      <c r="BD35" s="687"/>
      <c r="BE35" s="688"/>
      <c r="BG35" s="689"/>
      <c r="BH35" s="40"/>
      <c r="BI35" s="1153"/>
      <c r="BJ35" s="1153"/>
      <c r="BK35" s="1153"/>
      <c r="BL35" s="1153"/>
      <c r="BM35" s="1153"/>
    </row>
    <row r="36" spans="1:65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D36" s="871">
        <f t="shared" si="1"/>
        <v>26</v>
      </c>
      <c r="AE36" s="871"/>
      <c r="AF36" s="872">
        <f t="shared" si="7"/>
        <v>750</v>
      </c>
      <c r="AG36" s="873"/>
      <c r="AI36" s="504">
        <f t="shared" si="5"/>
        <v>25</v>
      </c>
      <c r="AJ36" s="503" t="s">
        <v>35</v>
      </c>
      <c r="AK36" s="549">
        <v>26</v>
      </c>
      <c r="AL36" s="678">
        <f t="shared" si="6"/>
        <v>1</v>
      </c>
      <c r="AM36" s="867">
        <f t="shared" si="2"/>
        <v>1050000</v>
      </c>
      <c r="AN36" s="868"/>
      <c r="AO36" s="567"/>
      <c r="AP36" s="762"/>
      <c r="AR36" s="28">
        <f>SUM(AL$11:$AL35)+(AL36/2)</f>
        <v>25.5</v>
      </c>
      <c r="AU36" s="1189"/>
      <c r="AV36" s="1189"/>
      <c r="AX36" s="690"/>
      <c r="AY36" s="691"/>
      <c r="AZ36" s="685"/>
      <c r="BA36" s="1190"/>
      <c r="BB36" s="1190"/>
      <c r="BC36" s="686"/>
      <c r="BD36" s="687"/>
      <c r="BE36" s="688"/>
      <c r="BG36" s="689"/>
      <c r="BH36" s="40"/>
      <c r="BI36" s="1153"/>
      <c r="BJ36" s="1153"/>
      <c r="BK36" s="1153"/>
      <c r="BL36" s="1153"/>
      <c r="BM36" s="1153"/>
    </row>
    <row r="37" spans="1:65" ht="17.25" customHeight="1">
      <c r="A37" s="6"/>
      <c r="B37" s="8"/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  <c r="AD37" s="871">
        <f t="shared" si="1"/>
        <v>27</v>
      </c>
      <c r="AE37" s="871"/>
      <c r="AF37" s="872">
        <f t="shared" si="7"/>
        <v>750</v>
      </c>
      <c r="AG37" s="873"/>
      <c r="AI37" s="763">
        <f t="shared" si="5"/>
        <v>26</v>
      </c>
      <c r="AJ37" s="505" t="s">
        <v>96</v>
      </c>
      <c r="AK37" s="764">
        <v>27</v>
      </c>
      <c r="AL37" s="765">
        <f t="shared" si="6"/>
        <v>1</v>
      </c>
      <c r="AM37" s="1197">
        <f t="shared" si="2"/>
        <v>1050000</v>
      </c>
      <c r="AN37" s="1198"/>
      <c r="AO37" s="766"/>
      <c r="AP37" s="767"/>
      <c r="AR37" s="28">
        <f>SUM(AL$11:$AL36)+(AL37/2)</f>
        <v>26.5</v>
      </c>
      <c r="AX37" s="3"/>
      <c r="AY37" s="3"/>
      <c r="BA37" s="52"/>
      <c r="BB37" s="52"/>
      <c r="BC37" s="52"/>
      <c r="BD37" s="52"/>
      <c r="BE37" s="1217"/>
      <c r="BF37" s="1217"/>
      <c r="BL37" s="5"/>
      <c r="BM37" s="5"/>
    </row>
    <row r="38" spans="1:65" ht="17.25" customHeight="1">
      <c r="A38" s="6"/>
      <c r="B38" s="73"/>
      <c r="C38" s="55"/>
      <c r="D38" s="8"/>
      <c r="E38" s="8"/>
      <c r="F38" s="63"/>
      <c r="G38" s="8"/>
      <c r="H38" s="8"/>
      <c r="I38" s="8"/>
      <c r="J38" s="46"/>
      <c r="K38" s="55"/>
      <c r="L38" s="46"/>
      <c r="M38" s="4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8"/>
      <c r="Z38" s="46"/>
      <c r="AA38" s="46"/>
      <c r="AB38" s="46"/>
      <c r="AC38" s="9"/>
      <c r="AV38" s="5"/>
      <c r="AW38" s="5"/>
      <c r="AX38" s="3"/>
      <c r="AY38" s="3"/>
    </row>
    <row r="39" spans="1:65" ht="17.25" customHeight="1">
      <c r="A39" s="6"/>
      <c r="B39" s="73"/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9"/>
      <c r="AC39" s="9"/>
      <c r="AD39" s="1223" t="s">
        <v>847</v>
      </c>
      <c r="AE39" s="1224"/>
      <c r="AF39" s="1225"/>
      <c r="AG39" s="773">
        <v>0</v>
      </c>
      <c r="AH39" s="752"/>
      <c r="AI39" s="1572" t="s">
        <v>851</v>
      </c>
      <c r="AJ39" s="1573"/>
      <c r="AK39" s="57"/>
      <c r="AL39" s="757" t="s">
        <v>873</v>
      </c>
    </row>
    <row r="40" spans="1:65" ht="17.25" customHeight="1">
      <c r="A40" s="6"/>
      <c r="B40" s="73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9"/>
      <c r="AC40" s="9"/>
      <c r="AD40" s="1223" t="s">
        <v>848</v>
      </c>
      <c r="AE40" s="1224"/>
      <c r="AF40" s="1225"/>
      <c r="AG40" s="773">
        <v>0</v>
      </c>
      <c r="AH40" s="752"/>
      <c r="AI40" s="1572" t="s">
        <v>858</v>
      </c>
      <c r="AJ40" s="1573"/>
      <c r="AK40" s="57"/>
      <c r="AL40" s="757" t="s">
        <v>874</v>
      </c>
    </row>
    <row r="41" spans="1:65" ht="17.25" customHeight="1">
      <c r="A41" s="6"/>
      <c r="B41" s="8"/>
      <c r="C41" s="55"/>
      <c r="D41" s="8"/>
      <c r="E41" s="8"/>
      <c r="F41" s="63"/>
      <c r="G41" s="8"/>
      <c r="H41" s="8"/>
      <c r="I41" s="8"/>
      <c r="J41" s="46"/>
      <c r="K41" s="55"/>
      <c r="L41" s="46"/>
      <c r="M41" s="4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58"/>
      <c r="Z41" s="46"/>
      <c r="AA41" s="46"/>
      <c r="AB41" s="46"/>
      <c r="AC41" s="9"/>
      <c r="AD41" s="1223" t="s">
        <v>877</v>
      </c>
      <c r="AE41" s="1224"/>
      <c r="AF41" s="1225"/>
      <c r="AG41" s="773">
        <v>0.16</v>
      </c>
      <c r="AH41" s="752"/>
      <c r="AI41" s="1572" t="s">
        <v>878</v>
      </c>
      <c r="AJ41" s="1573"/>
      <c r="AK41" s="57"/>
      <c r="AL41" s="757" t="s">
        <v>875</v>
      </c>
    </row>
    <row r="42" spans="1:65" ht="17.25" customHeight="1">
      <c r="A42" s="6"/>
      <c r="B42" s="7" t="s">
        <v>98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46"/>
      <c r="AC42" s="9"/>
      <c r="AD42" s="1223" t="s">
        <v>849</v>
      </c>
      <c r="AE42" s="1224"/>
      <c r="AF42" s="1225"/>
      <c r="AG42" s="769">
        <f>+AG40-AG41</f>
        <v>-0.16</v>
      </c>
      <c r="AH42" s="752"/>
      <c r="AI42" s="1572"/>
      <c r="AJ42" s="1573"/>
      <c r="AK42" s="57"/>
      <c r="AL42" s="57"/>
    </row>
    <row r="43" spans="1:65" ht="17.25" customHeight="1">
      <c r="A43" s="6"/>
      <c r="B43" s="7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46"/>
      <c r="AC43" s="9"/>
      <c r="AD43" s="1223" t="s">
        <v>213</v>
      </c>
      <c r="AE43" s="1224"/>
      <c r="AF43" s="1225"/>
      <c r="AG43" s="770">
        <f>+AG39-AG42</f>
        <v>0.16</v>
      </c>
      <c r="AH43" s="752"/>
      <c r="AI43" s="1572" t="s">
        <v>850</v>
      </c>
      <c r="AJ43" s="1573"/>
      <c r="AK43" s="57"/>
      <c r="AL43" s="57"/>
    </row>
    <row r="44" spans="1:65" ht="17.25" customHeight="1">
      <c r="A44" s="6"/>
      <c r="B44" s="476" t="s">
        <v>99</v>
      </c>
      <c r="C44" s="42" t="s">
        <v>100</v>
      </c>
      <c r="D44" s="42"/>
      <c r="E44" s="42"/>
      <c r="F44" s="42"/>
      <c r="G44" s="42"/>
      <c r="H44" s="42"/>
      <c r="I44" s="476"/>
      <c r="J44" s="1218"/>
      <c r="K44" s="1218"/>
      <c r="L44" s="42"/>
      <c r="M44" s="42"/>
      <c r="N44" s="42"/>
      <c r="O44" s="42"/>
      <c r="P44" s="42"/>
      <c r="Q44" s="178"/>
      <c r="R44" s="178"/>
      <c r="S44" s="178"/>
      <c r="T44" s="178"/>
      <c r="U44" s="178"/>
      <c r="V44" s="178"/>
      <c r="W44" s="464"/>
      <c r="X44" s="178"/>
      <c r="Y44" s="82"/>
      <c r="Z44" s="82"/>
      <c r="AA44" s="76"/>
      <c r="AB44" s="9"/>
      <c r="AC44" s="9"/>
      <c r="AD44" s="1223" t="s">
        <v>859</v>
      </c>
      <c r="AE44" s="1224"/>
      <c r="AF44" s="1225"/>
      <c r="AG44" s="752">
        <f>+AG40-AG42</f>
        <v>0.16</v>
      </c>
      <c r="AH44" s="752"/>
      <c r="AI44" s="753" t="s">
        <v>865</v>
      </c>
      <c r="AJ44" s="753"/>
      <c r="AK44" s="57"/>
      <c r="AL44" s="757" t="s">
        <v>876</v>
      </c>
      <c r="AX44" s="577"/>
    </row>
    <row r="45" spans="1:65" ht="17.100000000000001" customHeight="1">
      <c r="A45" s="6"/>
      <c r="B45" s="476" t="s">
        <v>101</v>
      </c>
      <c r="C45" s="5" t="s">
        <v>102</v>
      </c>
      <c r="D45" s="5"/>
      <c r="E45" s="5"/>
      <c r="F45" s="5"/>
      <c r="H45" s="364" t="s">
        <v>103</v>
      </c>
      <c r="I45" s="511">
        <v>5</v>
      </c>
      <c r="J45" s="364"/>
      <c r="K45" s="1205" t="s">
        <v>104</v>
      </c>
      <c r="L45" s="1206"/>
      <c r="M45" s="1206"/>
      <c r="N45" s="1206"/>
      <c r="O45" s="1207"/>
      <c r="P45" s="5"/>
      <c r="T45" s="2"/>
      <c r="U45" s="2"/>
      <c r="V45" s="2"/>
      <c r="W45" s="465"/>
      <c r="X45" s="465"/>
      <c r="Y45" s="88"/>
      <c r="Z45" s="88"/>
      <c r="AA45" s="76"/>
      <c r="AB45" s="9"/>
      <c r="AC45" s="9"/>
      <c r="AD45" s="57"/>
      <c r="AE45" s="57"/>
      <c r="AF45" s="57"/>
      <c r="AG45" s="57"/>
      <c r="AH45" s="57"/>
      <c r="AI45" s="57"/>
      <c r="AJ45" s="57"/>
      <c r="AK45" s="57"/>
      <c r="AL45" s="57"/>
    </row>
    <row r="46" spans="1:65" ht="17.100000000000001" customHeight="1">
      <c r="A46" s="6"/>
      <c r="B46" s="42"/>
      <c r="C46" s="477" t="s">
        <v>105</v>
      </c>
      <c r="D46" s="5"/>
      <c r="E46" s="5"/>
      <c r="F46" s="5" t="s">
        <v>106</v>
      </c>
      <c r="G46" s="5"/>
      <c r="H46" s="5"/>
      <c r="I46" s="5"/>
      <c r="J46" s="5"/>
      <c r="K46" s="5"/>
      <c r="L46" s="5"/>
      <c r="M46" s="1202"/>
      <c r="N46" s="1202"/>
      <c r="O46" s="5"/>
      <c r="P46" s="5"/>
      <c r="Q46" s="159"/>
      <c r="R46" s="159"/>
      <c r="S46" s="159"/>
      <c r="T46" s="466"/>
      <c r="U46" s="466"/>
      <c r="V46" s="466"/>
      <c r="W46" s="467"/>
      <c r="X46" s="467"/>
      <c r="Y46" s="91"/>
      <c r="Z46" s="91"/>
      <c r="AA46" s="76"/>
      <c r="AB46" s="97"/>
      <c r="AC46" s="9"/>
      <c r="AD46" s="750"/>
      <c r="AE46" s="751"/>
      <c r="AF46" s="751"/>
      <c r="AG46" s="751"/>
      <c r="AH46" s="188"/>
      <c r="AI46" s="57"/>
      <c r="AJ46" s="57"/>
      <c r="AK46" s="57"/>
      <c r="AL46" s="57"/>
    </row>
    <row r="47" spans="1:65" ht="17.100000000000001" customHeight="1">
      <c r="A47" s="6"/>
      <c r="B47" s="42"/>
      <c r="C47" s="364" t="s">
        <v>107</v>
      </c>
      <c r="D47" s="5" t="s">
        <v>108</v>
      </c>
      <c r="E47" s="5"/>
      <c r="F47" s="5"/>
      <c r="G47" s="5"/>
      <c r="H47" s="5" t="s">
        <v>516</v>
      </c>
      <c r="I47" s="5"/>
      <c r="J47" s="5"/>
      <c r="K47" s="5"/>
      <c r="L47" s="478" t="s">
        <v>110</v>
      </c>
      <c r="M47" s="537">
        <f>ROUND(I45/0.075,0)</f>
        <v>67</v>
      </c>
      <c r="N47" s="479"/>
      <c r="O47" s="5"/>
      <c r="P47" s="3" t="s">
        <v>111</v>
      </c>
      <c r="R47" s="5">
        <f>+M47/2</f>
        <v>33.5</v>
      </c>
      <c r="T47" s="2"/>
      <c r="U47" s="2"/>
      <c r="V47" s="2"/>
      <c r="W47" s="2"/>
      <c r="X47" s="2"/>
      <c r="Y47" s="77"/>
      <c r="Z47" s="77"/>
      <c r="AA47" s="77"/>
      <c r="AB47" s="100"/>
      <c r="AC47" s="9"/>
      <c r="AD47" s="9"/>
      <c r="AE47" s="9"/>
      <c r="AF47" s="9"/>
      <c r="AG47" s="9"/>
      <c r="AH47" s="9"/>
    </row>
    <row r="48" spans="1:65" ht="17.100000000000001" customHeight="1">
      <c r="A48" s="6"/>
      <c r="B48" s="42"/>
      <c r="C48" s="364" t="s">
        <v>107</v>
      </c>
      <c r="D48" s="5" t="s">
        <v>112</v>
      </c>
      <c r="E48" s="5"/>
      <c r="F48" s="5"/>
      <c r="G48" s="5"/>
      <c r="H48" s="5" t="s">
        <v>518</v>
      </c>
      <c r="I48" s="5"/>
      <c r="J48" s="5"/>
      <c r="K48" s="5"/>
      <c r="L48" s="478" t="s">
        <v>110</v>
      </c>
      <c r="M48" s="479">
        <f>ROUND(I45/0.082,0)</f>
        <v>61</v>
      </c>
      <c r="N48" s="479"/>
      <c r="O48" s="5"/>
      <c r="P48" s="3" t="s">
        <v>111</v>
      </c>
      <c r="Q48" s="404"/>
      <c r="R48" s="5">
        <f>+M48/2</f>
        <v>30.5</v>
      </c>
      <c r="T48" s="2"/>
      <c r="U48" s="2"/>
      <c r="V48" s="2"/>
      <c r="W48" s="2"/>
      <c r="X48" s="2"/>
      <c r="Y48" s="77"/>
      <c r="Z48" s="77"/>
      <c r="AA48" s="77"/>
      <c r="AB48" s="9"/>
      <c r="AC48" s="97"/>
      <c r="AD48" s="97"/>
      <c r="AE48" s="97"/>
      <c r="AF48" s="46"/>
      <c r="AG48" s="46"/>
      <c r="AH48" s="9"/>
    </row>
    <row r="49" spans="1:56" ht="17.100000000000001" customHeight="1">
      <c r="A49" s="6"/>
      <c r="B49" s="476"/>
      <c r="C49" s="364" t="s">
        <v>107</v>
      </c>
      <c r="D49" s="5" t="s">
        <v>114</v>
      </c>
      <c r="E49" s="5"/>
      <c r="F49" s="5"/>
      <c r="G49" s="5"/>
      <c r="H49" s="5" t="s">
        <v>520</v>
      </c>
      <c r="I49" s="5"/>
      <c r="J49" s="5"/>
      <c r="K49" s="5"/>
      <c r="L49" s="478" t="s">
        <v>110</v>
      </c>
      <c r="M49" s="479">
        <f>ROUND(40+I45/0.2,0)</f>
        <v>65</v>
      </c>
      <c r="N49" s="479"/>
      <c r="O49" s="5"/>
      <c r="P49" s="3" t="s">
        <v>111</v>
      </c>
      <c r="Q49" s="472"/>
      <c r="R49" s="5">
        <f>+M49/2</f>
        <v>32.5</v>
      </c>
      <c r="S49" s="428"/>
      <c r="T49" s="178"/>
      <c r="U49" s="178"/>
      <c r="V49" s="178"/>
      <c r="W49" s="178"/>
      <c r="X49" s="178"/>
      <c r="Y49" s="82"/>
      <c r="Z49" s="82"/>
      <c r="AA49" s="82"/>
      <c r="AB49" s="46"/>
      <c r="AC49" s="100"/>
      <c r="AD49" s="100"/>
      <c r="AE49" s="100"/>
      <c r="AF49" s="46"/>
      <c r="AG49" s="46"/>
      <c r="AH49" s="9"/>
    </row>
    <row r="50" spans="1:56" ht="17.100000000000001" customHeight="1">
      <c r="A50" s="6"/>
      <c r="C50" s="1065" t="str">
        <f>B14</f>
        <v>매립층</v>
      </c>
      <c r="D50" s="1065"/>
      <c r="E50" s="5" t="s">
        <v>574</v>
      </c>
      <c r="F50" s="5"/>
      <c r="G50" s="5"/>
      <c r="H50" s="5"/>
      <c r="I50" s="5"/>
      <c r="J50" s="5" t="s">
        <v>103</v>
      </c>
      <c r="K50" s="1202">
        <f>+MIN(R47:R49)</f>
        <v>30.5</v>
      </c>
      <c r="L50" s="1202"/>
      <c r="M50" s="477" t="s">
        <v>117</v>
      </c>
      <c r="N50" s="364"/>
      <c r="O50" s="5"/>
      <c r="P50" s="5" t="s">
        <v>575</v>
      </c>
      <c r="R50" s="3">
        <f>N14</f>
        <v>0</v>
      </c>
      <c r="S50" s="3" t="s">
        <v>576</v>
      </c>
      <c r="T50" s="2"/>
      <c r="U50" s="2"/>
      <c r="V50" s="2"/>
      <c r="W50" s="2"/>
      <c r="X50" s="2"/>
      <c r="Y50" s="77"/>
      <c r="Z50" s="99"/>
      <c r="AA50" s="99"/>
      <c r="AB50" s="46"/>
      <c r="AC50" s="9"/>
      <c r="AD50" s="9"/>
      <c r="AE50" s="9"/>
      <c r="AF50" s="46"/>
      <c r="AG50" s="46"/>
      <c r="AH50" s="9"/>
      <c r="AX50" s="3"/>
      <c r="AY50" s="3"/>
      <c r="BC50" s="5"/>
      <c r="BD50" s="5"/>
    </row>
    <row r="51" spans="1:56" ht="17.100000000000001" customHeight="1">
      <c r="A51" s="6"/>
      <c r="B51" s="2"/>
      <c r="D51" s="468"/>
      <c r="E51" s="468"/>
      <c r="F51" s="468"/>
      <c r="G51" s="469"/>
      <c r="H51" s="469"/>
      <c r="I51" s="469"/>
      <c r="J51" s="469"/>
      <c r="K51" s="473"/>
      <c r="L51" s="473"/>
      <c r="M51" s="473"/>
      <c r="N51" s="473"/>
      <c r="O51" s="473"/>
      <c r="P51" s="473"/>
      <c r="T51" s="2"/>
      <c r="U51" s="2"/>
      <c r="V51" s="2"/>
      <c r="W51" s="2"/>
      <c r="X51" s="2"/>
      <c r="Y51" s="77"/>
      <c r="Z51" s="77"/>
      <c r="AA51" s="77"/>
      <c r="AB51" s="9"/>
      <c r="AC51" s="46"/>
      <c r="AD51" s="46"/>
      <c r="AE51" s="104"/>
      <c r="AF51" s="105"/>
      <c r="AG51" s="105"/>
      <c r="AH51" s="105"/>
      <c r="AI51" s="105"/>
      <c r="AK51" s="106"/>
      <c r="AL51" s="106"/>
      <c r="AM51" s="106"/>
      <c r="AN51" s="1219"/>
      <c r="AO51" s="1220"/>
      <c r="AP51" s="1220"/>
      <c r="AQ51" s="1220"/>
      <c r="AR51" s="1221"/>
      <c r="AS51" s="105"/>
      <c r="AT51" s="107"/>
      <c r="AX51" s="3"/>
      <c r="AY51" s="3"/>
      <c r="BC51" s="5"/>
      <c r="BD51" s="5"/>
    </row>
    <row r="52" spans="1:56" ht="17.100000000000001" customHeight="1">
      <c r="A52" s="6"/>
      <c r="B52" s="476" t="s">
        <v>101</v>
      </c>
      <c r="C52" s="5" t="s">
        <v>102</v>
      </c>
      <c r="D52" s="5"/>
      <c r="E52" s="5"/>
      <c r="F52" s="5"/>
      <c r="H52" s="364" t="s">
        <v>103</v>
      </c>
      <c r="I52" s="511">
        <v>11</v>
      </c>
      <c r="J52" s="364"/>
      <c r="K52" s="1205" t="s">
        <v>104</v>
      </c>
      <c r="L52" s="1206"/>
      <c r="M52" s="1206"/>
      <c r="N52" s="1206"/>
      <c r="O52" s="1207"/>
      <c r="P52" s="5"/>
      <c r="T52" s="2"/>
      <c r="U52" s="2"/>
      <c r="V52" s="2"/>
      <c r="W52" s="2"/>
      <c r="X52" s="2"/>
      <c r="Y52" s="77"/>
      <c r="Z52" s="77"/>
      <c r="AA52" s="77"/>
      <c r="AB52" s="9"/>
      <c r="AC52" s="46"/>
      <c r="AD52" s="46"/>
      <c r="AE52" s="108"/>
      <c r="AF52" s="109"/>
      <c r="AG52" s="105"/>
      <c r="AH52" s="105"/>
      <c r="AI52" s="105"/>
      <c r="AJ52" s="105"/>
      <c r="AK52" s="105"/>
      <c r="AL52" s="105"/>
      <c r="AM52" s="105"/>
      <c r="AN52" s="105"/>
      <c r="AO52" s="105"/>
      <c r="AP52" s="1204"/>
      <c r="AQ52" s="1204"/>
      <c r="AR52" s="105"/>
      <c r="AS52" s="105"/>
      <c r="AT52" s="110"/>
      <c r="AX52" s="3"/>
      <c r="AY52" s="3"/>
      <c r="BC52" s="5"/>
      <c r="BD52" s="5"/>
    </row>
    <row r="53" spans="1:56" ht="17.100000000000001" customHeight="1">
      <c r="A53" s="6"/>
      <c r="B53" s="42"/>
      <c r="C53" s="477" t="s">
        <v>105</v>
      </c>
      <c r="D53" s="5"/>
      <c r="E53" s="5"/>
      <c r="F53" s="5" t="s">
        <v>106</v>
      </c>
      <c r="G53" s="5"/>
      <c r="H53" s="5"/>
      <c r="I53" s="5"/>
      <c r="J53" s="5"/>
      <c r="K53" s="5"/>
      <c r="L53" s="5"/>
      <c r="M53" s="1202"/>
      <c r="N53" s="1202"/>
      <c r="O53" s="5"/>
      <c r="P53" s="5"/>
      <c r="Q53" s="159"/>
      <c r="R53" s="159"/>
      <c r="S53" s="159"/>
      <c r="T53" s="466"/>
      <c r="U53" s="466"/>
      <c r="V53" s="466"/>
      <c r="W53" s="466"/>
      <c r="X53" s="466"/>
      <c r="Y53" s="76"/>
      <c r="Z53" s="76"/>
      <c r="AA53" s="76"/>
      <c r="AB53" s="9"/>
      <c r="AC53" s="9"/>
      <c r="AD53" s="58"/>
      <c r="AE53" s="108"/>
      <c r="AF53" s="106"/>
      <c r="AG53" s="105"/>
      <c r="AH53" s="105"/>
      <c r="AI53" s="105"/>
      <c r="AJ53" s="105"/>
      <c r="AK53" s="105"/>
      <c r="AL53" s="105"/>
      <c r="AM53" s="105"/>
      <c r="AN53" s="105"/>
      <c r="AO53" s="111"/>
      <c r="AP53" s="112"/>
      <c r="AQ53" s="112"/>
      <c r="AR53" s="105"/>
      <c r="AT53" s="107"/>
      <c r="AX53" s="3"/>
      <c r="AY53" s="3"/>
      <c r="BC53" s="5"/>
      <c r="BD53" s="5"/>
    </row>
    <row r="54" spans="1:56" ht="17.100000000000001" customHeight="1">
      <c r="A54" s="6"/>
      <c r="B54" s="42"/>
      <c r="C54" s="364" t="s">
        <v>107</v>
      </c>
      <c r="D54" s="5" t="s">
        <v>108</v>
      </c>
      <c r="E54" s="5"/>
      <c r="F54" s="5"/>
      <c r="G54" s="5"/>
      <c r="H54" s="5" t="s">
        <v>515</v>
      </c>
      <c r="I54" s="5"/>
      <c r="J54" s="5"/>
      <c r="K54" s="5"/>
      <c r="L54" s="478" t="s">
        <v>238</v>
      </c>
      <c r="M54" s="479">
        <f>ROUND(I52/0.075,0)</f>
        <v>147</v>
      </c>
      <c r="N54" s="479"/>
      <c r="O54" s="5"/>
      <c r="P54" s="3" t="s">
        <v>111</v>
      </c>
      <c r="R54" s="5">
        <f>+M54/2</f>
        <v>73.5</v>
      </c>
      <c r="T54" s="2"/>
      <c r="U54" s="2"/>
      <c r="V54" s="2"/>
      <c r="W54" s="2"/>
      <c r="X54" s="2"/>
      <c r="Y54" s="77"/>
      <c r="Z54" s="77"/>
      <c r="AA54" s="77"/>
      <c r="AB54" s="9"/>
      <c r="AC54" s="58"/>
      <c r="AD54" s="9"/>
      <c r="AE54" s="108"/>
      <c r="AF54" s="106"/>
      <c r="AG54" s="105"/>
      <c r="AH54" s="105"/>
      <c r="AI54" s="105"/>
      <c r="AJ54" s="105"/>
      <c r="AK54" s="105"/>
      <c r="AL54" s="105"/>
      <c r="AM54" s="105"/>
      <c r="AN54" s="105"/>
      <c r="AO54" s="111"/>
      <c r="AP54" s="112"/>
      <c r="AQ54" s="112"/>
      <c r="AR54" s="105"/>
      <c r="AT54" s="113"/>
      <c r="AX54" s="3"/>
      <c r="AY54" s="3"/>
      <c r="BC54" s="5"/>
      <c r="BD54" s="5"/>
    </row>
    <row r="55" spans="1:56" ht="17.100000000000001" customHeight="1">
      <c r="A55" s="6"/>
      <c r="B55" s="42"/>
      <c r="C55" s="364" t="s">
        <v>107</v>
      </c>
      <c r="D55" s="5" t="s">
        <v>112</v>
      </c>
      <c r="E55" s="5"/>
      <c r="F55" s="5"/>
      <c r="G55" s="5"/>
      <c r="H55" s="5" t="s">
        <v>517</v>
      </c>
      <c r="I55" s="5"/>
      <c r="J55" s="5"/>
      <c r="K55" s="5"/>
      <c r="L55" s="478" t="s">
        <v>238</v>
      </c>
      <c r="M55" s="479">
        <f>ROUND(I52/0.082,0)</f>
        <v>134</v>
      </c>
      <c r="N55" s="479"/>
      <c r="O55" s="5"/>
      <c r="P55" s="3" t="s">
        <v>111</v>
      </c>
      <c r="Q55" s="404"/>
      <c r="R55" s="5">
        <f>+M55/2</f>
        <v>67</v>
      </c>
      <c r="T55" s="2"/>
      <c r="U55" s="2"/>
      <c r="V55" s="2"/>
      <c r="W55" s="2"/>
      <c r="X55" s="2"/>
      <c r="Y55" s="77"/>
      <c r="Z55" s="77"/>
      <c r="AA55" s="77"/>
      <c r="AB55" s="9"/>
      <c r="AC55" s="58"/>
      <c r="AD55" s="114"/>
      <c r="AE55" s="104"/>
      <c r="AF55" s="106"/>
      <c r="AG55" s="105"/>
      <c r="AH55" s="105"/>
      <c r="AI55" s="105"/>
      <c r="AJ55" s="105"/>
      <c r="AK55" s="105"/>
      <c r="AL55" s="105"/>
      <c r="AM55" s="105"/>
      <c r="AN55" s="105"/>
      <c r="AO55" s="111"/>
      <c r="AP55" s="112"/>
      <c r="AQ55" s="112"/>
      <c r="AR55" s="105"/>
      <c r="AT55" s="115"/>
      <c r="AU55" s="107"/>
      <c r="AV55" s="107"/>
      <c r="AW55" s="9"/>
      <c r="AX55" s="9"/>
      <c r="AY55" s="3"/>
      <c r="BC55" s="5"/>
      <c r="BD55" s="5"/>
    </row>
    <row r="56" spans="1:56" ht="17.100000000000001" customHeight="1">
      <c r="A56" s="6"/>
      <c r="B56" s="476" t="s">
        <v>101</v>
      </c>
      <c r="C56" s="364" t="s">
        <v>107</v>
      </c>
      <c r="D56" s="5" t="s">
        <v>114</v>
      </c>
      <c r="E56" s="5"/>
      <c r="F56" s="5"/>
      <c r="G56" s="5"/>
      <c r="H56" s="5" t="s">
        <v>519</v>
      </c>
      <c r="I56" s="5"/>
      <c r="J56" s="5"/>
      <c r="K56" s="5"/>
      <c r="L56" s="478" t="s">
        <v>238</v>
      </c>
      <c r="M56" s="479">
        <f>ROUND(40+I52/0.2,0)</f>
        <v>95</v>
      </c>
      <c r="N56" s="479"/>
      <c r="O56" s="5"/>
      <c r="P56" s="3" t="s">
        <v>111</v>
      </c>
      <c r="Q56" s="472"/>
      <c r="R56" s="5">
        <f>+M56/2</f>
        <v>47.5</v>
      </c>
      <c r="S56" s="428"/>
      <c r="T56" s="178"/>
      <c r="U56" s="178"/>
      <c r="V56" s="178"/>
      <c r="W56" s="178"/>
      <c r="X56" s="178"/>
      <c r="Y56" s="82"/>
      <c r="Z56" s="82"/>
      <c r="AA56" s="82"/>
      <c r="AB56" s="9"/>
      <c r="AC56" s="58"/>
      <c r="AD56" s="114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9"/>
      <c r="AQ56" s="106"/>
      <c r="AR56" s="105"/>
      <c r="AS56" s="105"/>
      <c r="AT56" s="107"/>
      <c r="AU56" s="110"/>
      <c r="AV56" s="110"/>
      <c r="AW56" s="46"/>
      <c r="AX56" s="46"/>
      <c r="AY56" s="3"/>
      <c r="BC56" s="5"/>
      <c r="BD56" s="5"/>
    </row>
    <row r="57" spans="1:56" ht="17.100000000000001" customHeight="1">
      <c r="A57" s="6"/>
      <c r="C57" s="1065" t="str">
        <f>B15</f>
        <v>퇴적층</v>
      </c>
      <c r="D57" s="1065"/>
      <c r="E57" s="5" t="s">
        <v>574</v>
      </c>
      <c r="F57" s="5"/>
      <c r="G57" s="5"/>
      <c r="H57" s="5"/>
      <c r="I57" s="5"/>
      <c r="J57" s="5" t="s">
        <v>103</v>
      </c>
      <c r="K57" s="1209">
        <f>+MIN(R54:R56)</f>
        <v>47.5</v>
      </c>
      <c r="L57" s="1209"/>
      <c r="M57" s="477" t="s">
        <v>117</v>
      </c>
      <c r="N57" s="364"/>
      <c r="O57" s="5"/>
      <c r="P57" s="5" t="s">
        <v>575</v>
      </c>
      <c r="R57" s="3">
        <f>N15</f>
        <v>0</v>
      </c>
      <c r="S57" s="3" t="s">
        <v>576</v>
      </c>
      <c r="T57" s="2"/>
      <c r="U57" s="2"/>
      <c r="V57" s="2"/>
      <c r="W57" s="2"/>
      <c r="X57" s="2"/>
      <c r="Y57" s="77"/>
      <c r="Z57" s="99"/>
      <c r="AA57" s="99"/>
      <c r="AB57" s="9"/>
      <c r="AC57" s="58"/>
      <c r="AD57" s="114"/>
      <c r="AE57" s="114"/>
      <c r="AF57" s="114"/>
      <c r="AG57" s="2"/>
      <c r="AH57" s="9"/>
      <c r="AU57" s="105"/>
      <c r="AV57" s="107"/>
      <c r="AW57" s="9"/>
      <c r="AX57" s="9"/>
      <c r="AY57" s="3"/>
      <c r="BC57" s="5"/>
      <c r="BD57" s="5"/>
    </row>
    <row r="58" spans="1:56" ht="17.100000000000001" customHeight="1">
      <c r="A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477"/>
      <c r="N58" s="364"/>
      <c r="O58" s="5"/>
      <c r="P58" s="42"/>
      <c r="Q58" s="2"/>
      <c r="R58" s="2"/>
      <c r="T58" s="2"/>
      <c r="U58" s="2"/>
      <c r="V58" s="2"/>
      <c r="W58" s="2"/>
      <c r="X58" s="2"/>
      <c r="Y58" s="77"/>
      <c r="Z58" s="99"/>
      <c r="AA58" s="99"/>
      <c r="AB58" s="9"/>
      <c r="AC58" s="58"/>
      <c r="AD58" s="114"/>
      <c r="AE58" s="114"/>
      <c r="AF58" s="114"/>
      <c r="AG58" s="2"/>
      <c r="AH58" s="9"/>
      <c r="AU58" s="105"/>
      <c r="AV58" s="107"/>
      <c r="AW58" s="9"/>
      <c r="AX58" s="9"/>
      <c r="AY58" s="3"/>
      <c r="BC58" s="5"/>
      <c r="BD58" s="5"/>
    </row>
    <row r="59" spans="1:56" ht="17.100000000000001" customHeight="1">
      <c r="A59" s="6"/>
      <c r="B59" s="476" t="s">
        <v>118</v>
      </c>
      <c r="C59" s="5" t="s">
        <v>119</v>
      </c>
      <c r="D59" s="5"/>
      <c r="E59" s="5"/>
      <c r="F59" s="5"/>
      <c r="G59" s="5"/>
      <c r="H59" s="5"/>
      <c r="I59" s="5"/>
      <c r="J59" s="5"/>
      <c r="K59" s="5"/>
      <c r="L59" s="5"/>
      <c r="M59" s="477"/>
      <c r="N59" s="364"/>
      <c r="O59" s="5"/>
      <c r="P59" s="42"/>
      <c r="Q59" s="2"/>
      <c r="R59" s="2"/>
      <c r="T59" s="2"/>
      <c r="U59" s="2"/>
      <c r="V59" s="2"/>
      <c r="W59" s="2"/>
      <c r="X59" s="2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U59" s="105"/>
      <c r="AV59" s="116"/>
      <c r="AW59" s="97"/>
      <c r="AX59" s="97"/>
      <c r="AY59" s="3"/>
      <c r="BC59" s="5"/>
      <c r="BD59" s="5"/>
    </row>
    <row r="60" spans="1:56" ht="17.100000000000001" customHeight="1">
      <c r="A60" s="6"/>
      <c r="C60" s="5" t="s">
        <v>102</v>
      </c>
      <c r="D60" s="5"/>
      <c r="E60" s="5"/>
      <c r="F60" s="5"/>
      <c r="H60" s="364" t="s">
        <v>103</v>
      </c>
      <c r="I60" s="511">
        <f>I45</f>
        <v>5</v>
      </c>
      <c r="J60" s="364"/>
      <c r="K60" s="1208" t="s">
        <v>104</v>
      </c>
      <c r="L60" s="1208"/>
      <c r="M60" s="1208"/>
      <c r="N60" s="1208"/>
      <c r="O60" s="1208"/>
      <c r="P60" s="42"/>
      <c r="Q60" s="2"/>
      <c r="R60" s="2"/>
      <c r="T60" s="2"/>
      <c r="U60" s="2"/>
      <c r="V60" s="2"/>
      <c r="W60" s="2"/>
      <c r="X60" s="2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U60" s="107"/>
      <c r="AV60" s="107"/>
      <c r="AW60" s="9"/>
      <c r="AX60" s="100"/>
      <c r="AY60" s="3"/>
      <c r="BC60" s="5"/>
      <c r="BD60" s="5"/>
    </row>
    <row r="61" spans="1:56" ht="17.100000000000001" customHeight="1">
      <c r="A61" s="6"/>
      <c r="B61" s="476" t="s">
        <v>101</v>
      </c>
      <c r="C61" s="5" t="s">
        <v>120</v>
      </c>
      <c r="D61" s="5"/>
      <c r="E61" s="5"/>
      <c r="F61" s="5"/>
      <c r="G61" s="5"/>
      <c r="H61" s="5"/>
      <c r="I61" s="364" t="s">
        <v>103</v>
      </c>
      <c r="J61" s="1202">
        <f>MIN(M62:N66)</f>
        <v>24</v>
      </c>
      <c r="K61" s="1202"/>
      <c r="L61" s="5" t="s">
        <v>121</v>
      </c>
      <c r="M61" s="5"/>
      <c r="N61" s="5"/>
      <c r="O61" s="5"/>
      <c r="P61" s="42"/>
      <c r="Q61" s="2"/>
      <c r="R61" s="2"/>
      <c r="T61" s="2"/>
      <c r="U61" s="2"/>
      <c r="V61" s="2"/>
      <c r="W61" s="2"/>
      <c r="X61" s="2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100000000000001" customHeight="1">
      <c r="A62" s="6"/>
      <c r="B62" s="42"/>
      <c r="C62" s="364" t="s">
        <v>107</v>
      </c>
      <c r="D62" s="5" t="s">
        <v>108</v>
      </c>
      <c r="E62" s="5"/>
      <c r="F62" s="5"/>
      <c r="G62" s="5"/>
      <c r="H62" s="5" t="s">
        <v>122</v>
      </c>
      <c r="I62" s="5"/>
      <c r="J62" s="5"/>
      <c r="K62" s="5"/>
      <c r="L62" s="5" t="s">
        <v>110</v>
      </c>
      <c r="M62" s="1202">
        <f>ROUND(SQRT(12*I60)+20,0)</f>
        <v>28</v>
      </c>
      <c r="N62" s="1202"/>
      <c r="O62" s="5"/>
      <c r="P62" s="42"/>
      <c r="Q62" s="2"/>
      <c r="R62" s="2"/>
      <c r="T62" s="2"/>
      <c r="U62" s="2"/>
      <c r="V62" s="2"/>
      <c r="W62" s="2"/>
      <c r="X62" s="2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100000000000001" customHeight="1">
      <c r="A63" s="6"/>
      <c r="B63" s="42"/>
      <c r="C63" s="364" t="s">
        <v>107</v>
      </c>
      <c r="D63" s="5" t="s">
        <v>123</v>
      </c>
      <c r="E63" s="5"/>
      <c r="F63" s="5"/>
      <c r="G63" s="5"/>
      <c r="H63" s="5" t="s">
        <v>124</v>
      </c>
      <c r="I63" s="5"/>
      <c r="J63" s="5"/>
      <c r="K63" s="5"/>
      <c r="L63" s="5" t="s">
        <v>110</v>
      </c>
      <c r="M63" s="1202">
        <f>ROUND(0.25*I60+32.5,0)</f>
        <v>34</v>
      </c>
      <c r="N63" s="1202"/>
      <c r="O63" s="5"/>
      <c r="P63" s="42"/>
      <c r="Q63" s="2"/>
      <c r="R63" s="2"/>
      <c r="T63" s="2"/>
      <c r="U63" s="2"/>
      <c r="V63" s="2"/>
      <c r="W63" s="2"/>
      <c r="X63" s="2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100000000000001" customHeight="1">
      <c r="A64" s="6"/>
      <c r="B64" s="42"/>
      <c r="C64" s="364" t="s">
        <v>107</v>
      </c>
      <c r="D64" s="5" t="s">
        <v>125</v>
      </c>
      <c r="E64" s="5"/>
      <c r="F64" s="5"/>
      <c r="G64" s="5"/>
      <c r="H64" s="5" t="s">
        <v>126</v>
      </c>
      <c r="I64" s="5"/>
      <c r="J64" s="5"/>
      <c r="K64" s="5"/>
      <c r="L64" s="5" t="s">
        <v>110</v>
      </c>
      <c r="M64" s="1202">
        <f>ROUND(0.3*I60+27,0)</f>
        <v>29</v>
      </c>
      <c r="N64" s="1202"/>
      <c r="O64" s="5"/>
      <c r="P64" s="42"/>
      <c r="Q64" s="2"/>
      <c r="R64" s="2"/>
      <c r="T64" s="2"/>
      <c r="U64" s="2"/>
      <c r="V64" s="2"/>
      <c r="W64" s="2"/>
      <c r="X64" s="2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100000000000001" customHeight="1">
      <c r="A65" s="6"/>
      <c r="B65" s="42"/>
      <c r="C65" s="364" t="s">
        <v>107</v>
      </c>
      <c r="D65" s="5" t="s">
        <v>114</v>
      </c>
      <c r="E65" s="5"/>
      <c r="F65" s="5"/>
      <c r="G65" s="5"/>
      <c r="H65" s="5" t="s">
        <v>127</v>
      </c>
      <c r="I65" s="5"/>
      <c r="J65" s="5"/>
      <c r="K65" s="5"/>
      <c r="L65" s="5" t="s">
        <v>110</v>
      </c>
      <c r="M65" s="1202">
        <f>ROUND(SQRT(20*I60)+15,0)</f>
        <v>25</v>
      </c>
      <c r="N65" s="1202"/>
      <c r="O65" s="5"/>
      <c r="P65" s="42"/>
      <c r="Q65" s="2"/>
      <c r="R65" s="2"/>
      <c r="T65" s="2"/>
      <c r="U65" s="2"/>
      <c r="V65" s="2"/>
      <c r="W65" s="2"/>
      <c r="X65" s="2"/>
      <c r="Y65" s="77"/>
      <c r="Z65" s="99"/>
      <c r="AA65" s="99"/>
      <c r="AB65" s="9"/>
      <c r="AC65" s="119"/>
      <c r="AD65" s="120"/>
      <c r="AE65" s="120"/>
      <c r="AF65" s="120"/>
      <c r="AG65" s="77"/>
      <c r="AH65" s="77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X65" s="3"/>
      <c r="AY65" s="3"/>
      <c r="BC65" s="5"/>
      <c r="BD65" s="5"/>
    </row>
    <row r="66" spans="1:56" ht="17.100000000000001" customHeight="1">
      <c r="A66" s="6"/>
      <c r="B66" s="42"/>
      <c r="C66" s="364" t="s">
        <v>107</v>
      </c>
      <c r="D66" s="5" t="s">
        <v>128</v>
      </c>
      <c r="E66" s="5"/>
      <c r="F66" s="5"/>
      <c r="G66" s="5"/>
      <c r="H66" s="5" t="s">
        <v>129</v>
      </c>
      <c r="I66" s="5"/>
      <c r="J66" s="5"/>
      <c r="K66" s="5"/>
      <c r="L66" s="5" t="s">
        <v>110</v>
      </c>
      <c r="M66" s="1202">
        <f>ROUND(SQRT(15*I60)+15,0)</f>
        <v>24</v>
      </c>
      <c r="N66" s="1202"/>
      <c r="O66" s="5"/>
      <c r="P66" s="42"/>
      <c r="Q66" s="2"/>
      <c r="R66" s="2"/>
      <c r="T66" s="2"/>
      <c r="U66" s="2"/>
      <c r="V66" s="2"/>
      <c r="W66" s="2"/>
      <c r="X66" s="2"/>
      <c r="Y66" s="77"/>
      <c r="Z66" s="99"/>
      <c r="AA66" s="99"/>
      <c r="AB66" s="9"/>
      <c r="AC66" s="119"/>
      <c r="AD66" s="120"/>
      <c r="AE66" s="120"/>
      <c r="AF66" s="120"/>
      <c r="AG66" s="77"/>
      <c r="AH66" s="77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X66" s="3"/>
      <c r="AY66" s="3"/>
      <c r="BC66" s="5"/>
      <c r="BD66" s="5"/>
    </row>
    <row r="67" spans="1:56" ht="17.100000000000001" customHeight="1">
      <c r="A67" s="6"/>
      <c r="C67" s="1065" t="str">
        <f>C50</f>
        <v>매립층</v>
      </c>
      <c r="D67" s="1065"/>
      <c r="E67" s="5" t="s">
        <v>577</v>
      </c>
      <c r="F67" s="5"/>
      <c r="G67" s="5"/>
      <c r="H67" s="5"/>
      <c r="I67" s="5"/>
      <c r="J67" s="5" t="s">
        <v>103</v>
      </c>
      <c r="K67" s="1202">
        <f>+MIN(M62:N66)</f>
        <v>24</v>
      </c>
      <c r="L67" s="1202"/>
      <c r="M67" s="477" t="s">
        <v>131</v>
      </c>
      <c r="N67" s="364"/>
      <c r="O67" s="5"/>
      <c r="P67" s="42" t="s">
        <v>578</v>
      </c>
      <c r="Q67" s="2"/>
      <c r="R67" s="2">
        <f>P14</f>
        <v>21</v>
      </c>
      <c r="S67" s="3" t="s">
        <v>579</v>
      </c>
      <c r="T67" s="2"/>
      <c r="U67" s="2"/>
      <c r="V67" s="2"/>
      <c r="W67" s="2"/>
      <c r="X67" s="2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X67" s="3"/>
      <c r="AY67" s="3"/>
      <c r="BC67" s="5"/>
      <c r="BD67" s="5"/>
    </row>
    <row r="68" spans="1:56" ht="17.100000000000001" customHeight="1">
      <c r="A68" s="6"/>
      <c r="C68" s="5"/>
      <c r="D68" s="5"/>
      <c r="E68" s="5"/>
      <c r="F68" s="5"/>
      <c r="H68" s="364"/>
      <c r="I68" s="364"/>
      <c r="J68" s="364"/>
      <c r="K68" s="480"/>
      <c r="L68" s="480"/>
      <c r="M68" s="480"/>
      <c r="N68" s="480"/>
      <c r="O68" s="480"/>
      <c r="P68" s="5"/>
      <c r="T68" s="2"/>
      <c r="U68" s="2"/>
      <c r="V68" s="2"/>
      <c r="W68" s="2"/>
      <c r="X68" s="2"/>
      <c r="Y68" s="77"/>
      <c r="Z68" s="99"/>
      <c r="AA68" s="99"/>
      <c r="AB68" s="9"/>
      <c r="AC68" s="119"/>
      <c r="AD68" s="120"/>
      <c r="AE68" s="120"/>
      <c r="AF68" s="84"/>
      <c r="AG68" s="84"/>
      <c r="AH68" s="84"/>
      <c r="AI68" s="84"/>
      <c r="AJ68" s="85"/>
      <c r="AK68" s="86"/>
      <c r="AL68" s="86"/>
      <c r="AM68" s="86"/>
      <c r="AN68" s="595"/>
      <c r="AO68" s="595"/>
      <c r="AP68" s="595"/>
      <c r="AQ68" s="595"/>
      <c r="AR68" s="595"/>
      <c r="AS68" s="85"/>
      <c r="AT68" s="85"/>
      <c r="AX68" s="3"/>
      <c r="AY68" s="3"/>
      <c r="BC68" s="5"/>
      <c r="BD68" s="5"/>
    </row>
    <row r="69" spans="1:56" ht="17.100000000000001" customHeight="1">
      <c r="A69" s="6"/>
      <c r="C69" s="5" t="s">
        <v>102</v>
      </c>
      <c r="D69" s="5"/>
      <c r="E69" s="5"/>
      <c r="F69" s="5"/>
      <c r="H69" s="364" t="s">
        <v>103</v>
      </c>
      <c r="I69" s="511">
        <f>I52</f>
        <v>11</v>
      </c>
      <c r="J69" s="364"/>
      <c r="K69" s="1208" t="s">
        <v>104</v>
      </c>
      <c r="L69" s="1208"/>
      <c r="M69" s="1208"/>
      <c r="N69" s="1208"/>
      <c r="O69" s="1208"/>
      <c r="P69" s="5"/>
      <c r="T69" s="2"/>
      <c r="U69" s="2"/>
      <c r="V69" s="2"/>
      <c r="W69" s="2"/>
      <c r="X69" s="2"/>
      <c r="Y69" s="77"/>
      <c r="Z69" s="99"/>
      <c r="AA69" s="99"/>
      <c r="AB69" s="9"/>
      <c r="AC69" s="119"/>
      <c r="AD69" s="120"/>
      <c r="AE69" s="120"/>
      <c r="AF69" s="84"/>
      <c r="AG69" s="84"/>
      <c r="AH69" s="84"/>
      <c r="AI69" s="84"/>
      <c r="AJ69" s="85"/>
      <c r="AK69" s="86"/>
      <c r="AL69" s="86"/>
      <c r="AM69" s="86"/>
      <c r="AN69" s="595"/>
      <c r="AO69" s="595"/>
      <c r="AP69" s="595"/>
      <c r="AQ69" s="595"/>
      <c r="AR69" s="59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17.100000000000001" customHeight="1">
      <c r="A70" s="6"/>
      <c r="B70" s="476" t="s">
        <v>101</v>
      </c>
      <c r="C70" s="5" t="s">
        <v>120</v>
      </c>
      <c r="D70" s="5"/>
      <c r="E70" s="5"/>
      <c r="F70" s="5"/>
      <c r="G70" s="5"/>
      <c r="H70" s="5"/>
      <c r="I70" s="364" t="s">
        <v>103</v>
      </c>
      <c r="J70" s="1202">
        <f>MIN(M71:N75)</f>
        <v>28</v>
      </c>
      <c r="K70" s="1202"/>
      <c r="L70" s="5" t="s">
        <v>121</v>
      </c>
      <c r="M70" s="5"/>
      <c r="N70" s="5"/>
      <c r="O70" s="5"/>
      <c r="P70" s="5"/>
      <c r="T70" s="2"/>
      <c r="U70" s="2"/>
      <c r="V70" s="2"/>
      <c r="W70" s="2"/>
      <c r="X70" s="2"/>
      <c r="Y70" s="77"/>
      <c r="Z70" s="99"/>
      <c r="AA70" s="99"/>
      <c r="AB70" s="9"/>
      <c r="AC70" s="119"/>
      <c r="AD70" s="120"/>
      <c r="AE70" s="80"/>
      <c r="AF70" s="84"/>
      <c r="AG70" s="84"/>
      <c r="AH70" s="84"/>
      <c r="AI70" s="84"/>
      <c r="AJ70" s="84"/>
      <c r="AK70" s="84"/>
      <c r="AL70" s="86"/>
      <c r="AM70" s="84"/>
      <c r="AN70" s="84"/>
      <c r="AO70" s="84"/>
      <c r="AP70" s="84"/>
      <c r="AQ70" s="84"/>
      <c r="AR70" s="84"/>
      <c r="AS70" s="84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17.100000000000001" customHeight="1">
      <c r="A71" s="6"/>
      <c r="B71" s="42"/>
      <c r="C71" s="364" t="s">
        <v>107</v>
      </c>
      <c r="D71" s="5" t="s">
        <v>108</v>
      </c>
      <c r="E71" s="5"/>
      <c r="F71" s="5"/>
      <c r="G71" s="5"/>
      <c r="H71" s="5" t="s">
        <v>122</v>
      </c>
      <c r="I71" s="5"/>
      <c r="J71" s="5"/>
      <c r="K71" s="5"/>
      <c r="L71" s="5" t="s">
        <v>110</v>
      </c>
      <c r="M71" s="1202">
        <f>ROUND(SQRT(12*I69)+20,0)</f>
        <v>31</v>
      </c>
      <c r="N71" s="1202"/>
      <c r="O71" s="5"/>
      <c r="P71" s="5"/>
      <c r="T71" s="2"/>
      <c r="U71" s="2"/>
      <c r="V71" s="2"/>
      <c r="W71" s="2"/>
      <c r="X71" s="2"/>
      <c r="Y71" s="77"/>
      <c r="Z71" s="99"/>
      <c r="AA71" s="99"/>
      <c r="AB71" s="9"/>
      <c r="AC71" s="119"/>
      <c r="AD71" s="120"/>
      <c r="AE71" s="81"/>
      <c r="AF71" s="86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7.100000000000001" customHeight="1">
      <c r="A72" s="6"/>
      <c r="B72" s="42"/>
      <c r="C72" s="364" t="s">
        <v>107</v>
      </c>
      <c r="D72" s="5" t="s">
        <v>123</v>
      </c>
      <c r="E72" s="5"/>
      <c r="F72" s="5"/>
      <c r="G72" s="5"/>
      <c r="H72" s="5" t="s">
        <v>124</v>
      </c>
      <c r="I72" s="5"/>
      <c r="J72" s="5"/>
      <c r="K72" s="5"/>
      <c r="L72" s="5" t="s">
        <v>110</v>
      </c>
      <c r="M72" s="1202">
        <f>ROUND(0.25*I69+32.5,0)</f>
        <v>35</v>
      </c>
      <c r="N72" s="1202"/>
      <c r="O72" s="5"/>
      <c r="P72" s="5"/>
      <c r="T72" s="2"/>
      <c r="U72" s="2"/>
      <c r="V72" s="2"/>
      <c r="W72" s="2"/>
      <c r="X72" s="2"/>
      <c r="Y72" s="77"/>
      <c r="Z72" s="99"/>
      <c r="AA72" s="99"/>
      <c r="AB72" s="9"/>
      <c r="AC72" s="119"/>
      <c r="AD72" s="120"/>
      <c r="AE72" s="81"/>
      <c r="AF72" s="86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100000000000001" customHeight="1">
      <c r="A73" s="6"/>
      <c r="B73" s="42"/>
      <c r="C73" s="364" t="s">
        <v>107</v>
      </c>
      <c r="D73" s="5" t="s">
        <v>125</v>
      </c>
      <c r="E73" s="5"/>
      <c r="F73" s="5"/>
      <c r="G73" s="5"/>
      <c r="H73" s="5" t="s">
        <v>126</v>
      </c>
      <c r="I73" s="5"/>
      <c r="J73" s="5"/>
      <c r="K73" s="5"/>
      <c r="L73" s="5" t="s">
        <v>110</v>
      </c>
      <c r="M73" s="1202">
        <f>ROUND(0.3*I69+27,0)</f>
        <v>30</v>
      </c>
      <c r="N73" s="1202"/>
      <c r="O73" s="5"/>
      <c r="P73" s="5"/>
      <c r="T73" s="2"/>
      <c r="U73" s="2"/>
      <c r="V73" s="2"/>
      <c r="W73" s="2"/>
      <c r="X73" s="2"/>
      <c r="Y73" s="77"/>
      <c r="Z73" s="99"/>
      <c r="AA73" s="99"/>
      <c r="AB73" s="9"/>
      <c r="AC73" s="119"/>
      <c r="AD73" s="120"/>
      <c r="AE73" s="81"/>
      <c r="AF73" s="86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17.100000000000001" customHeight="1">
      <c r="A74" s="6"/>
      <c r="B74" s="42"/>
      <c r="C74" s="364" t="s">
        <v>107</v>
      </c>
      <c r="D74" s="5" t="s">
        <v>114</v>
      </c>
      <c r="E74" s="5"/>
      <c r="F74" s="5"/>
      <c r="G74" s="5"/>
      <c r="H74" s="5" t="s">
        <v>127</v>
      </c>
      <c r="I74" s="5"/>
      <c r="J74" s="5"/>
      <c r="K74" s="5"/>
      <c r="L74" s="5" t="s">
        <v>110</v>
      </c>
      <c r="M74" s="1202">
        <f>ROUND(SQRT(20*I69)+15,0)</f>
        <v>30</v>
      </c>
      <c r="N74" s="1202"/>
      <c r="O74" s="5"/>
      <c r="P74" s="42"/>
      <c r="Q74" s="2"/>
      <c r="R74" s="2"/>
      <c r="S74" s="2"/>
      <c r="T74" s="2"/>
      <c r="U74" s="2"/>
      <c r="V74" s="2"/>
      <c r="W74" s="2"/>
      <c r="X74" s="2"/>
      <c r="Y74" s="77"/>
      <c r="Z74" s="99"/>
      <c r="AA74" s="99"/>
      <c r="AB74" s="9"/>
      <c r="AC74" s="119"/>
      <c r="AD74" s="120"/>
      <c r="AE74" s="81"/>
      <c r="AF74" s="86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100000000000001" customHeight="1">
      <c r="A75" s="6"/>
      <c r="B75" s="42"/>
      <c r="C75" s="364" t="s">
        <v>107</v>
      </c>
      <c r="D75" s="5" t="s">
        <v>128</v>
      </c>
      <c r="E75" s="5"/>
      <c r="F75" s="5"/>
      <c r="G75" s="5"/>
      <c r="H75" s="5" t="s">
        <v>129</v>
      </c>
      <c r="I75" s="5"/>
      <c r="J75" s="5"/>
      <c r="K75" s="5"/>
      <c r="L75" s="5" t="s">
        <v>110</v>
      </c>
      <c r="M75" s="1202">
        <f>ROUND(SQRT(15*I69)+15,0)</f>
        <v>28</v>
      </c>
      <c r="N75" s="1202"/>
      <c r="O75" s="5"/>
      <c r="P75" s="42"/>
      <c r="Q75" s="2"/>
      <c r="R75" s="2"/>
      <c r="S75" s="2"/>
      <c r="T75" s="2"/>
      <c r="U75" s="2"/>
      <c r="V75" s="2"/>
      <c r="W75" s="2"/>
      <c r="X75" s="2"/>
      <c r="Y75" s="77"/>
      <c r="Z75" s="99"/>
      <c r="AA75" s="99"/>
      <c r="AB75" s="2"/>
      <c r="AC75" s="119"/>
      <c r="AD75" s="120"/>
      <c r="AE75" s="81"/>
      <c r="AF75" s="86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17.100000000000001" customHeight="1">
      <c r="A76" s="6"/>
      <c r="C76" s="1065" t="str">
        <f>C57</f>
        <v>퇴적층</v>
      </c>
      <c r="D76" s="1065"/>
      <c r="E76" s="5" t="s">
        <v>577</v>
      </c>
      <c r="F76" s="5"/>
      <c r="G76" s="5"/>
      <c r="H76" s="5"/>
      <c r="I76" s="5"/>
      <c r="J76" s="5" t="s">
        <v>103</v>
      </c>
      <c r="K76" s="1202">
        <f>+MIN(M71:N75)</f>
        <v>28</v>
      </c>
      <c r="L76" s="1202"/>
      <c r="M76" s="477" t="s">
        <v>131</v>
      </c>
      <c r="N76" s="364"/>
      <c r="O76" s="5"/>
      <c r="P76" s="42" t="s">
        <v>578</v>
      </c>
      <c r="Q76" s="2"/>
      <c r="R76" s="2">
        <f>P15</f>
        <v>23</v>
      </c>
      <c r="S76" s="3" t="s">
        <v>579</v>
      </c>
      <c r="T76" s="2"/>
      <c r="U76" s="2"/>
      <c r="V76" s="2"/>
      <c r="W76" s="2"/>
      <c r="X76" s="2"/>
      <c r="Y76" s="77"/>
      <c r="Z76" s="99"/>
      <c r="AA76" s="99"/>
      <c r="AB76" s="2"/>
      <c r="AC76" s="119"/>
      <c r="AD76" s="120"/>
      <c r="AE76" s="85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121"/>
      <c r="AQ76" s="86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17.100000000000001" customHeight="1">
      <c r="A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477"/>
      <c r="N77" s="364"/>
      <c r="O77" s="5"/>
      <c r="P77" s="42"/>
      <c r="Q77" s="2"/>
      <c r="R77" s="2"/>
      <c r="S77" s="2"/>
      <c r="T77" s="2"/>
      <c r="U77" s="2"/>
      <c r="V77" s="2"/>
      <c r="W77" s="2"/>
      <c r="X77" s="2"/>
      <c r="Y77" s="77"/>
      <c r="Z77" s="99"/>
      <c r="AA77" s="99"/>
      <c r="AB77" s="2"/>
      <c r="AC77" s="119"/>
      <c r="AD77" s="120"/>
      <c r="AE77" s="120"/>
      <c r="AF77" s="120"/>
      <c r="AG77" s="77"/>
      <c r="AH77" s="77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17.100000000000001" customHeight="1">
      <c r="A78" s="6"/>
      <c r="B78" s="159" t="s">
        <v>137</v>
      </c>
      <c r="C78" s="3" t="s">
        <v>398</v>
      </c>
      <c r="D78" s="42"/>
      <c r="E78" s="42"/>
      <c r="F78" s="42"/>
      <c r="G78" s="42"/>
      <c r="H78" s="42"/>
      <c r="I78" s="42"/>
      <c r="J78" s="42"/>
      <c r="K78" s="42"/>
      <c r="L78" s="474"/>
      <c r="M78" s="475"/>
      <c r="N78" s="476"/>
      <c r="O78" s="42"/>
      <c r="P78" s="42"/>
      <c r="Q78" s="2"/>
      <c r="R78" s="2"/>
      <c r="S78" s="2"/>
      <c r="T78" s="2"/>
      <c r="U78" s="470"/>
      <c r="V78" s="470"/>
      <c r="W78" s="2"/>
      <c r="X78" s="471"/>
      <c r="Y78" s="120"/>
      <c r="Z78" s="120"/>
      <c r="AA78" s="120"/>
      <c r="AB78" s="2"/>
      <c r="AC78" s="7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17.100000000000001" customHeight="1">
      <c r="A79" s="6"/>
      <c r="B79" s="476" t="s">
        <v>101</v>
      </c>
      <c r="C79" s="42" t="s">
        <v>399</v>
      </c>
      <c r="D79" s="42"/>
      <c r="E79" s="42"/>
      <c r="F79" s="42"/>
      <c r="G79" s="42"/>
      <c r="H79" s="42"/>
      <c r="I79" s="42"/>
      <c r="J79" s="42" t="s">
        <v>580</v>
      </c>
      <c r="K79" s="42"/>
      <c r="M79" s="475"/>
      <c r="N79" s="476"/>
      <c r="O79" s="42"/>
      <c r="P79" s="42"/>
      <c r="Q79" s="2"/>
      <c r="R79" s="2"/>
      <c r="S79" s="2"/>
      <c r="T79" s="2"/>
      <c r="U79" s="470"/>
      <c r="V79" s="470"/>
      <c r="W79" s="2"/>
      <c r="X79" s="471"/>
      <c r="Y79" s="120"/>
      <c r="Z79" s="120"/>
      <c r="AA79" s="120"/>
      <c r="AB79" s="2"/>
      <c r="AC79" s="77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17.100000000000001" customHeight="1">
      <c r="A80" s="6"/>
      <c r="C80" s="42"/>
      <c r="D80" s="42"/>
      <c r="E80" s="42"/>
      <c r="F80" s="42"/>
      <c r="G80" s="42"/>
      <c r="H80" s="42"/>
      <c r="I80" s="42"/>
      <c r="J80" s="42" t="s">
        <v>821</v>
      </c>
      <c r="K80" s="42"/>
      <c r="L80" s="474"/>
      <c r="M80" s="475"/>
      <c r="N80" s="476"/>
      <c r="O80" s="42"/>
      <c r="P80" s="42"/>
      <c r="Q80" s="2"/>
      <c r="R80" s="2"/>
      <c r="S80" s="2"/>
      <c r="T80" s="2"/>
      <c r="U80" s="470"/>
      <c r="V80" s="470"/>
      <c r="W80" s="2"/>
      <c r="X80" s="471"/>
      <c r="Y80" s="120"/>
      <c r="Z80" s="120"/>
      <c r="AA80" s="120"/>
      <c r="AC80" s="9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6" ht="17.100000000000001" customHeight="1">
      <c r="A81" s="6"/>
      <c r="C81" s="42"/>
      <c r="D81" s="42"/>
      <c r="E81" s="42"/>
      <c r="F81" s="42"/>
      <c r="G81" s="42"/>
      <c r="H81" s="42"/>
      <c r="I81" s="42"/>
      <c r="J81" s="42"/>
      <c r="K81" s="42"/>
      <c r="L81" s="474"/>
      <c r="M81" s="475"/>
      <c r="N81" s="476"/>
      <c r="O81" s="42"/>
      <c r="P81" s="42"/>
      <c r="Q81" s="2"/>
      <c r="R81" s="2"/>
      <c r="S81" s="2"/>
      <c r="T81" s="2"/>
      <c r="U81" s="470"/>
      <c r="V81" s="470"/>
      <c r="W81" s="2"/>
      <c r="X81" s="471"/>
      <c r="Y81" s="120"/>
      <c r="Z81" s="120"/>
      <c r="AA81" s="120"/>
      <c r="AB81" s="9"/>
      <c r="AC81" s="9"/>
      <c r="AU81" s="85"/>
      <c r="AV81" s="85"/>
      <c r="AW81" s="85"/>
      <c r="AX81" s="85"/>
      <c r="AY81" s="85"/>
      <c r="AZ81" s="85"/>
      <c r="BA81" s="85"/>
      <c r="BB81" s="85"/>
      <c r="BC81" s="5"/>
      <c r="BD81" s="5"/>
    </row>
    <row r="82" spans="1:56" ht="17.100000000000001" customHeight="1">
      <c r="A82" s="6"/>
      <c r="B82" s="76" t="s">
        <v>140</v>
      </c>
      <c r="C82" s="73" t="s">
        <v>141</v>
      </c>
      <c r="D82" s="76"/>
      <c r="E82" s="76"/>
      <c r="F82" s="6"/>
      <c r="G82" s="74"/>
      <c r="H82" s="74"/>
      <c r="I82" s="74"/>
      <c r="J82" s="73"/>
      <c r="K82" s="73"/>
      <c r="L82" s="76"/>
      <c r="M82" s="76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119"/>
      <c r="Y82" s="129"/>
      <c r="Z82" s="129"/>
      <c r="AA82" s="129"/>
      <c r="AB82" s="9"/>
      <c r="AC82" s="9"/>
      <c r="AU82" s="85"/>
      <c r="AV82" s="85"/>
      <c r="AW82" s="85"/>
      <c r="AX82" s="125"/>
      <c r="AY82" s="125"/>
      <c r="AZ82" s="85"/>
      <c r="BA82" s="85"/>
      <c r="BB82" s="85"/>
    </row>
    <row r="83" spans="1:56" ht="17.100000000000001" customHeight="1">
      <c r="A83" s="130"/>
      <c r="B83" s="131" t="s">
        <v>667</v>
      </c>
      <c r="C83" s="85"/>
      <c r="D83" s="85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85"/>
      <c r="AA83" s="85"/>
      <c r="AB83" s="9"/>
      <c r="AC83" s="9"/>
      <c r="AU83" s="85"/>
      <c r="AV83" s="85"/>
      <c r="AW83" s="85"/>
      <c r="AX83" s="125"/>
      <c r="AY83" s="125"/>
      <c r="AZ83" s="85"/>
      <c r="BA83" s="85"/>
      <c r="BB83" s="85"/>
    </row>
    <row r="84" spans="1:56" ht="17.100000000000001" customHeight="1">
      <c r="A84" s="130"/>
      <c r="B84" s="1243" t="s">
        <v>143</v>
      </c>
      <c r="C84" s="1243"/>
      <c r="D84" s="1244"/>
      <c r="E84" s="1245" t="s">
        <v>144</v>
      </c>
      <c r="F84" s="1246"/>
      <c r="G84" s="1246"/>
      <c r="H84" s="1246"/>
      <c r="I84" s="1247"/>
      <c r="J84" s="1245" t="s">
        <v>475</v>
      </c>
      <c r="K84" s="1246"/>
      <c r="L84" s="1246"/>
      <c r="M84" s="1246"/>
      <c r="N84" s="1247"/>
      <c r="O84" s="1248" t="s">
        <v>146</v>
      </c>
      <c r="P84" s="1249"/>
      <c r="Q84" s="1249"/>
      <c r="R84" s="1249"/>
      <c r="S84" s="1249"/>
      <c r="T84" s="1250"/>
      <c r="U84" s="1248" t="s">
        <v>147</v>
      </c>
      <c r="V84" s="1249"/>
      <c r="W84" s="1249"/>
      <c r="X84" s="1249"/>
      <c r="Y84" s="1249"/>
      <c r="Z84" s="1249"/>
      <c r="AA84" s="85"/>
    </row>
    <row r="85" spans="1:56" ht="17.100000000000001" customHeight="1">
      <c r="A85" s="130"/>
      <c r="B85" s="1227" t="s">
        <v>527</v>
      </c>
      <c r="C85" s="1227"/>
      <c r="D85" s="1227"/>
      <c r="E85" s="1228" t="s">
        <v>523</v>
      </c>
      <c r="F85" s="1229"/>
      <c r="G85" s="1229"/>
      <c r="H85" s="1229"/>
      <c r="I85" s="1229"/>
      <c r="J85" s="1228" t="s">
        <v>526</v>
      </c>
      <c r="K85" s="1229"/>
      <c r="L85" s="1229"/>
      <c r="M85" s="1229"/>
      <c r="N85" s="1230"/>
      <c r="O85" s="1231" t="s">
        <v>532</v>
      </c>
      <c r="P85" s="1231"/>
      <c r="Q85" s="1231"/>
      <c r="R85" s="1231"/>
      <c r="S85" s="1231"/>
      <c r="T85" s="1232"/>
      <c r="U85" s="1236" t="s">
        <v>525</v>
      </c>
      <c r="V85" s="1231"/>
      <c r="W85" s="1231"/>
      <c r="X85" s="1231"/>
      <c r="Y85" s="1231"/>
      <c r="Z85" s="1231"/>
      <c r="AA85" s="85"/>
    </row>
    <row r="86" spans="1:56" ht="17.100000000000001" customHeight="1">
      <c r="A86" s="130"/>
      <c r="B86" s="1237" t="s">
        <v>56</v>
      </c>
      <c r="C86" s="1237"/>
      <c r="D86" s="1238"/>
      <c r="E86" s="1239"/>
      <c r="F86" s="1240"/>
      <c r="G86" s="1240"/>
      <c r="H86" s="1240"/>
      <c r="I86" s="1241"/>
      <c r="J86" s="1239"/>
      <c r="K86" s="1240"/>
      <c r="L86" s="1240"/>
      <c r="M86" s="1240"/>
      <c r="N86" s="1241"/>
      <c r="O86" s="1251" t="s">
        <v>533</v>
      </c>
      <c r="P86" s="1252"/>
      <c r="Q86" s="1252"/>
      <c r="R86" s="1252"/>
      <c r="S86" s="1252"/>
      <c r="T86" s="1253"/>
      <c r="U86" s="1251" t="s">
        <v>534</v>
      </c>
      <c r="V86" s="1252"/>
      <c r="W86" s="1252"/>
      <c r="X86" s="1252"/>
      <c r="Y86" s="1252"/>
      <c r="Z86" s="1252"/>
      <c r="AA86" s="85"/>
      <c r="AB86" s="2"/>
    </row>
    <row r="87" spans="1:56" ht="19.5" customHeight="1">
      <c r="A87" s="130"/>
      <c r="B87" s="130"/>
      <c r="C87" s="130"/>
      <c r="D87" s="130"/>
      <c r="E87" s="133"/>
      <c r="F87" s="130"/>
      <c r="G87" s="130"/>
      <c r="H87" s="130"/>
      <c r="I87" s="130"/>
      <c r="J87" s="133"/>
      <c r="K87" s="130"/>
      <c r="L87" s="130"/>
      <c r="M87" s="130"/>
      <c r="N87" s="130"/>
      <c r="O87" s="134"/>
      <c r="P87" s="134"/>
      <c r="Q87" s="134"/>
      <c r="R87" s="135"/>
      <c r="S87" s="133"/>
      <c r="T87" s="133"/>
      <c r="U87" s="133"/>
      <c r="V87" s="135"/>
      <c r="W87" s="133"/>
      <c r="X87" s="133"/>
      <c r="Y87" s="133"/>
      <c r="Z87" s="133"/>
      <c r="AA87" s="133"/>
      <c r="AB87" s="2"/>
      <c r="AC87" s="2"/>
    </row>
    <row r="88" spans="1:56" ht="19.5" customHeight="1">
      <c r="A88" s="6"/>
      <c r="B88" s="7" t="s">
        <v>397</v>
      </c>
      <c r="C88" s="6"/>
      <c r="D88" s="6"/>
      <c r="E88" s="6"/>
      <c r="F88" s="6"/>
      <c r="G88" s="74"/>
      <c r="H88" s="74"/>
      <c r="I88" s="74"/>
      <c r="J88" s="73"/>
      <c r="K88" s="73"/>
      <c r="L88" s="76"/>
      <c r="M88" s="76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119"/>
      <c r="Y88" s="129"/>
      <c r="Z88" s="129"/>
      <c r="AA88" s="129"/>
      <c r="AB88" s="2"/>
      <c r="AC88" s="2"/>
      <c r="AW88" s="5"/>
      <c r="AY88" s="3"/>
    </row>
    <row r="89" spans="1:56" ht="14.25" customHeight="1">
      <c r="A89" s="6"/>
      <c r="B89" s="74"/>
      <c r="C89" s="6"/>
      <c r="D89" s="6"/>
      <c r="E89" s="6"/>
      <c r="F89" s="6"/>
      <c r="G89" s="74"/>
      <c r="H89" s="74"/>
      <c r="I89" s="74"/>
      <c r="J89" s="73"/>
      <c r="K89" s="73"/>
      <c r="L89" s="76"/>
      <c r="M89" s="76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119"/>
      <c r="Y89" s="129"/>
      <c r="Z89" s="129"/>
      <c r="AA89" s="129"/>
      <c r="AB89" s="2"/>
      <c r="AC89" s="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W89" s="5"/>
      <c r="AY89" s="3"/>
    </row>
    <row r="90" spans="1:56" ht="17.100000000000001" customHeight="1">
      <c r="A90" s="6"/>
      <c r="B90" s="462" t="s">
        <v>155</v>
      </c>
      <c r="C90" s="495" t="s">
        <v>400</v>
      </c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129"/>
      <c r="AB90" s="2"/>
      <c r="AC90" s="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W90" s="5"/>
      <c r="AY90" s="3"/>
    </row>
    <row r="91" spans="1:56" ht="30" customHeight="1">
      <c r="A91" s="6"/>
      <c r="B91" s="1260" t="s">
        <v>143</v>
      </c>
      <c r="C91" s="1255"/>
      <c r="D91" s="1255"/>
      <c r="E91" s="1254" t="s">
        <v>490</v>
      </c>
      <c r="F91" s="1255"/>
      <c r="G91" s="1255"/>
      <c r="H91" s="1210" t="s">
        <v>488</v>
      </c>
      <c r="I91" s="1214"/>
      <c r="J91" s="1214"/>
      <c r="K91" s="1254" t="s">
        <v>563</v>
      </c>
      <c r="L91" s="1255"/>
      <c r="M91" s="1255"/>
      <c r="N91" s="1210" t="s">
        <v>562</v>
      </c>
      <c r="O91" s="1210"/>
      <c r="P91" s="1210"/>
      <c r="Q91" s="1210" t="s">
        <v>555</v>
      </c>
      <c r="R91" s="1210"/>
      <c r="S91" s="1210"/>
      <c r="T91" s="1210" t="s">
        <v>561</v>
      </c>
      <c r="U91" s="1210"/>
      <c r="V91" s="1210"/>
      <c r="W91" s="1210"/>
      <c r="X91" s="1214" t="s">
        <v>489</v>
      </c>
      <c r="Y91" s="1214"/>
      <c r="Z91" s="1215"/>
      <c r="AA91" s="129"/>
      <c r="AB91" s="2"/>
      <c r="AC91" s="2"/>
      <c r="AD91" s="452"/>
      <c r="AE91" s="452" t="s">
        <v>478</v>
      </c>
      <c r="AF91" s="452"/>
      <c r="AG91" s="452"/>
      <c r="AH91" s="452"/>
      <c r="AI91" s="452"/>
      <c r="AJ91" s="452"/>
      <c r="AK91" s="452"/>
      <c r="AL91" s="452"/>
      <c r="AM91" s="452"/>
      <c r="AN91" s="452"/>
      <c r="AO91" s="452"/>
      <c r="AP91" s="452"/>
      <c r="AQ91" s="452"/>
      <c r="AR91" s="452"/>
      <c r="AS91" s="452"/>
      <c r="AT91" s="452"/>
    </row>
    <row r="92" spans="1:56" ht="19.5" customHeight="1">
      <c r="A92" s="6"/>
      <c r="B92" s="1258" t="str">
        <f>AC1</f>
        <v>지상1층</v>
      </c>
      <c r="C92" s="1259"/>
      <c r="D92" s="1259"/>
      <c r="E92" s="878">
        <f>+F5</f>
        <v>3.8</v>
      </c>
      <c r="F92" s="878"/>
      <c r="G92" s="878"/>
      <c r="H92" s="877">
        <f>+J5</f>
        <v>3.9</v>
      </c>
      <c r="I92" s="877"/>
      <c r="J92" s="877"/>
      <c r="K92" s="878">
        <f>+N5</f>
        <v>0.16</v>
      </c>
      <c r="L92" s="878"/>
      <c r="M92" s="878"/>
      <c r="N92" s="877">
        <f>+R5</f>
        <v>150</v>
      </c>
      <c r="O92" s="877"/>
      <c r="P92" s="877"/>
      <c r="Q92" s="877">
        <v>45</v>
      </c>
      <c r="R92" s="877"/>
      <c r="S92" s="877"/>
      <c r="T92" s="1211">
        <v>500</v>
      </c>
      <c r="U92" s="1211"/>
      <c r="V92" s="1211"/>
      <c r="W92" s="1211"/>
      <c r="X92" s="1212">
        <v>1</v>
      </c>
      <c r="Y92" s="1212"/>
      <c r="Z92" s="1213"/>
      <c r="AA92" s="129"/>
      <c r="AB92" s="2"/>
      <c r="AC92" s="2"/>
      <c r="AD92" s="452"/>
      <c r="AE92" s="452"/>
      <c r="AF92" s="452"/>
      <c r="AG92" s="452"/>
      <c r="AH92" s="452"/>
      <c r="AI92" s="528">
        <f>+T92</f>
        <v>500</v>
      </c>
      <c r="AJ92" s="528">
        <f>+X92</f>
        <v>1</v>
      </c>
      <c r="AK92" s="452"/>
      <c r="AL92" s="452"/>
      <c r="AM92" s="452"/>
      <c r="AN92" s="452"/>
      <c r="AO92" s="452"/>
      <c r="AP92" s="452"/>
      <c r="AQ92" s="452"/>
      <c r="AR92" s="452"/>
      <c r="AS92" s="452"/>
      <c r="AT92" s="452"/>
    </row>
    <row r="93" spans="1:56" ht="17.25" customHeight="1">
      <c r="A93" s="6"/>
      <c r="B93" s="1258"/>
      <c r="C93" s="1259"/>
      <c r="D93" s="1259"/>
      <c r="E93" s="878"/>
      <c r="F93" s="878"/>
      <c r="G93" s="878"/>
      <c r="H93" s="877"/>
      <c r="I93" s="877"/>
      <c r="J93" s="877"/>
      <c r="K93" s="878"/>
      <c r="L93" s="878"/>
      <c r="M93" s="878"/>
      <c r="N93" s="877"/>
      <c r="O93" s="877"/>
      <c r="P93" s="877"/>
      <c r="Q93" s="877"/>
      <c r="R93" s="877"/>
      <c r="S93" s="877"/>
      <c r="T93" s="1211"/>
      <c r="U93" s="1211"/>
      <c r="V93" s="1211"/>
      <c r="W93" s="1211"/>
      <c r="X93" s="1212"/>
      <c r="Y93" s="1212"/>
      <c r="Z93" s="1213"/>
      <c r="AA93" s="129"/>
      <c r="AB93" s="2"/>
      <c r="AC93" s="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</row>
    <row r="94" spans="1:56" ht="14.25" customHeight="1">
      <c r="A94" s="6"/>
      <c r="B94" s="140"/>
      <c r="C94" s="140"/>
      <c r="D94" s="140"/>
      <c r="E94" s="140"/>
      <c r="F94" s="140"/>
      <c r="G94" s="140"/>
      <c r="H94" s="141"/>
      <c r="I94" s="141"/>
      <c r="J94" s="140"/>
      <c r="K94" s="140"/>
      <c r="L94" s="140"/>
      <c r="M94" s="140"/>
      <c r="N94" s="141"/>
      <c r="O94" s="141"/>
      <c r="P94" s="141"/>
      <c r="Q94" s="141"/>
      <c r="R94" s="141"/>
      <c r="S94" s="142"/>
      <c r="T94" s="142"/>
      <c r="U94" s="142"/>
      <c r="V94" s="142"/>
      <c r="W94" s="141"/>
      <c r="X94" s="141"/>
      <c r="Y94" s="141"/>
      <c r="Z94" s="141"/>
      <c r="AA94" s="129"/>
      <c r="AB94" s="2"/>
      <c r="AC94" s="2"/>
      <c r="AD94" s="452"/>
      <c r="AE94" s="452"/>
      <c r="AF94" s="452"/>
      <c r="AG94" s="452"/>
      <c r="AH94" s="452"/>
      <c r="AI94" s="452"/>
      <c r="AJ94" s="452"/>
      <c r="AK94" s="452"/>
      <c r="AL94" s="452"/>
      <c r="AM94" s="452"/>
      <c r="AN94" s="452"/>
      <c r="AO94" s="452"/>
      <c r="AP94" s="452"/>
      <c r="AQ94" s="452"/>
      <c r="AR94" s="452"/>
      <c r="AS94" s="452"/>
      <c r="AT94" s="452"/>
    </row>
    <row r="95" spans="1:56" ht="17.25" customHeight="1">
      <c r="A95" s="6"/>
      <c r="B95" s="159" t="s">
        <v>554</v>
      </c>
      <c r="C95" s="96" t="s">
        <v>860</v>
      </c>
      <c r="D95" s="140"/>
      <c r="AA95" s="129"/>
      <c r="AB95" s="2"/>
      <c r="AC95" s="2"/>
      <c r="AD95" s="452"/>
      <c r="AE95" s="452"/>
      <c r="AF95" s="452"/>
      <c r="AG95" s="452"/>
      <c r="AH95" s="452"/>
      <c r="AI95" s="452"/>
      <c r="AJ95" s="452"/>
      <c r="AK95" s="452"/>
      <c r="AL95" s="452"/>
      <c r="AM95" s="452"/>
      <c r="AN95" s="452"/>
      <c r="AO95" s="452"/>
      <c r="AP95" s="452"/>
      <c r="AQ95" s="452"/>
      <c r="AR95" s="452"/>
      <c r="AS95" s="452"/>
      <c r="AT95" s="452"/>
    </row>
    <row r="96" spans="1:56" ht="17.25" customHeight="1">
      <c r="A96" s="6"/>
      <c r="B96" s="140"/>
      <c r="C96" s="140"/>
      <c r="D96" s="140"/>
      <c r="E96" s="140"/>
      <c r="F96" s="140"/>
      <c r="G96" s="140"/>
      <c r="H96" s="141"/>
      <c r="I96" s="141"/>
      <c r="J96" s="140"/>
      <c r="K96" s="140"/>
      <c r="L96" s="140"/>
      <c r="M96" s="140"/>
      <c r="N96" s="141"/>
      <c r="O96" s="141"/>
      <c r="P96" s="141"/>
      <c r="Q96" s="141"/>
      <c r="R96" s="141"/>
      <c r="S96" s="142"/>
      <c r="T96" s="142"/>
      <c r="U96" s="142"/>
      <c r="V96" s="142"/>
      <c r="W96" s="141"/>
      <c r="X96" s="141"/>
      <c r="Y96" s="141"/>
      <c r="Z96" s="141"/>
      <c r="AA96" s="129"/>
      <c r="AB96" s="2"/>
      <c r="AC96" s="2"/>
      <c r="AD96" s="452" t="s">
        <v>168</v>
      </c>
      <c r="AE96" s="452" t="s">
        <v>169</v>
      </c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</row>
    <row r="97" spans="1:51" ht="17.25" customHeight="1">
      <c r="A97" s="6"/>
      <c r="B97" s="140"/>
      <c r="C97" s="140"/>
      <c r="D97" s="880" t="s">
        <v>556</v>
      </c>
      <c r="E97" s="880" t="s">
        <v>557</v>
      </c>
      <c r="F97" s="880"/>
      <c r="G97" s="880"/>
      <c r="H97" s="880"/>
      <c r="I97" s="880"/>
      <c r="J97" s="579"/>
      <c r="K97" s="1234" t="s">
        <v>558</v>
      </c>
      <c r="L97" s="579"/>
      <c r="M97" s="880">
        <f>+N92</f>
        <v>150</v>
      </c>
      <c r="N97" s="880"/>
      <c r="O97" s="880"/>
      <c r="P97" s="580" t="s">
        <v>560</v>
      </c>
      <c r="Q97" s="1222">
        <f>+E92</f>
        <v>3.8</v>
      </c>
      <c r="R97" s="1222"/>
      <c r="S97" s="581" t="s">
        <v>560</v>
      </c>
      <c r="T97" s="1235">
        <f>+H92</f>
        <v>3.9</v>
      </c>
      <c r="U97" s="1235"/>
      <c r="V97" s="581"/>
      <c r="W97" s="1233" t="s">
        <v>558</v>
      </c>
      <c r="X97" s="1069">
        <f>ROUND(M97*Q97*T97/((L98+O98)*(R98+U98)),1)</f>
        <v>94.5</v>
      </c>
      <c r="Y97" s="1069"/>
      <c r="Z97" s="1069"/>
      <c r="AA97" s="129"/>
      <c r="AB97" s="2"/>
      <c r="AC97" s="2"/>
      <c r="AD97" s="452" t="s">
        <v>170</v>
      </c>
      <c r="AE97" s="452" t="s">
        <v>171</v>
      </c>
      <c r="AF97" s="452"/>
      <c r="AG97" s="452"/>
      <c r="AH97" s="452"/>
      <c r="AI97" s="452"/>
      <c r="AJ97" s="452"/>
      <c r="AK97" s="452"/>
      <c r="AL97" s="452"/>
      <c r="AM97" s="452"/>
      <c r="AN97" s="452"/>
      <c r="AO97" s="452"/>
      <c r="AP97" s="452"/>
      <c r="AQ97" s="452"/>
      <c r="AR97" s="452"/>
      <c r="AS97" s="452"/>
      <c r="AT97" s="452"/>
    </row>
    <row r="98" spans="1:51" ht="17.25" customHeight="1">
      <c r="A98" s="6"/>
      <c r="B98" s="140"/>
      <c r="C98" s="140"/>
      <c r="D98" s="880"/>
      <c r="E98" s="881" t="s">
        <v>571</v>
      </c>
      <c r="F98" s="881"/>
      <c r="G98" s="881"/>
      <c r="H98" s="881"/>
      <c r="I98" s="881"/>
      <c r="J98" s="579"/>
      <c r="K98" s="880"/>
      <c r="L98" s="1256">
        <f>+E92</f>
        <v>3.8</v>
      </c>
      <c r="M98" s="1256"/>
      <c r="N98" s="586" t="s">
        <v>559</v>
      </c>
      <c r="O98" s="1257">
        <f>+T100</f>
        <v>0.99999999999999989</v>
      </c>
      <c r="P98" s="1257"/>
      <c r="Q98" s="587" t="s">
        <v>560</v>
      </c>
      <c r="R98" s="1256">
        <f>+H92</f>
        <v>3.9</v>
      </c>
      <c r="S98" s="1256"/>
      <c r="T98" s="588" t="s">
        <v>559</v>
      </c>
      <c r="U98" s="1257">
        <f>IF(H92/E92&gt;6,0,T100)</f>
        <v>0.99999999999999989</v>
      </c>
      <c r="V98" s="1257"/>
      <c r="W98" s="879"/>
      <c r="X98" s="1069"/>
      <c r="Y98" s="1069"/>
      <c r="Z98" s="1069"/>
      <c r="AA98" s="129"/>
      <c r="AB98" s="2"/>
      <c r="AC98" s="2"/>
      <c r="AD98" s="774" t="s">
        <v>879</v>
      </c>
    </row>
    <row r="99" spans="1:51" ht="9.75" customHeight="1">
      <c r="A99" s="6"/>
      <c r="B99" s="140"/>
      <c r="C99" s="140"/>
      <c r="D99" s="579"/>
      <c r="E99" s="579"/>
      <c r="F99" s="579"/>
      <c r="G99" s="579"/>
      <c r="H99" s="579"/>
      <c r="I99" s="579"/>
      <c r="J99" s="579"/>
      <c r="K99" s="579"/>
      <c r="L99" s="602"/>
      <c r="M99" s="602"/>
      <c r="N99" s="601"/>
      <c r="O99" s="603"/>
      <c r="P99" s="603"/>
      <c r="Q99" s="580"/>
      <c r="R99" s="602"/>
      <c r="S99" s="602"/>
      <c r="T99" s="583"/>
      <c r="U99" s="603"/>
      <c r="V99" s="603"/>
      <c r="W99" s="580"/>
      <c r="X99" s="598"/>
      <c r="Y99" s="598"/>
      <c r="Z99" s="598"/>
      <c r="AA99" s="129"/>
      <c r="AB99" s="2"/>
      <c r="AC99" s="2"/>
      <c r="AF99" s="5"/>
      <c r="AG99" s="5"/>
    </row>
    <row r="100" spans="1:51" ht="17.25" customHeight="1">
      <c r="A100" s="6"/>
      <c r="B100" s="140"/>
      <c r="C100" s="140"/>
      <c r="D100" s="579"/>
      <c r="E100" s="579" t="s">
        <v>572</v>
      </c>
      <c r="F100" s="582" t="s">
        <v>558</v>
      </c>
      <c r="G100" s="584" t="s">
        <v>564</v>
      </c>
      <c r="H100" s="580"/>
      <c r="I100" s="580"/>
      <c r="J100" s="579"/>
      <c r="K100" s="582" t="s">
        <v>558</v>
      </c>
      <c r="L100" s="579">
        <v>2</v>
      </c>
      <c r="M100" s="579" t="s">
        <v>560</v>
      </c>
      <c r="N100" s="879">
        <f>+T92/1000</f>
        <v>0.5</v>
      </c>
      <c r="O100" s="879"/>
      <c r="P100" s="580" t="s">
        <v>560</v>
      </c>
      <c r="Q100" s="879">
        <f>+TAN(RADIANS(Q92))</f>
        <v>0.99999999999999989</v>
      </c>
      <c r="R100" s="879"/>
      <c r="S100" s="583" t="s">
        <v>558</v>
      </c>
      <c r="T100" s="1235">
        <f>+L100*N100*Q100</f>
        <v>0.99999999999999989</v>
      </c>
      <c r="U100" s="1235"/>
      <c r="V100" s="581"/>
      <c r="W100" s="580"/>
      <c r="AA100" s="129"/>
      <c r="AB100" s="2"/>
      <c r="AC100" s="2"/>
      <c r="AF100" s="5"/>
      <c r="AG100" s="5"/>
    </row>
    <row r="101" spans="1:51" ht="17.25" customHeight="1">
      <c r="A101" s="6"/>
      <c r="B101" s="140"/>
      <c r="C101" s="140"/>
      <c r="D101" s="579"/>
      <c r="E101" s="579"/>
      <c r="F101" s="582"/>
      <c r="G101" s="584"/>
      <c r="H101" s="580"/>
      <c r="I101" s="580"/>
      <c r="J101" s="579"/>
      <c r="K101" s="582"/>
      <c r="L101" s="579"/>
      <c r="M101" s="579"/>
      <c r="N101" s="580"/>
      <c r="O101" s="580"/>
      <c r="P101" s="580"/>
      <c r="Q101" s="580"/>
      <c r="R101" s="580"/>
      <c r="S101" s="583"/>
      <c r="T101" s="585"/>
      <c r="U101" s="585"/>
      <c r="V101" s="581" t="s">
        <v>567</v>
      </c>
      <c r="W101" s="580"/>
      <c r="X101" s="1069">
        <f>+N92-X97</f>
        <v>55.5</v>
      </c>
      <c r="Y101" s="1069"/>
      <c r="Z101" s="1069"/>
      <c r="AA101" s="129"/>
      <c r="AB101" s="2"/>
      <c r="AC101" s="2"/>
      <c r="AF101" s="145"/>
      <c r="AG101" s="145"/>
      <c r="AH101" s="145"/>
      <c r="AI101" s="145"/>
      <c r="AJ101" s="145"/>
      <c r="AK101" s="145"/>
      <c r="AL101" s="145"/>
    </row>
    <row r="102" spans="1:51" ht="8.25" customHeight="1">
      <c r="A102" s="6"/>
      <c r="B102" s="140"/>
      <c r="C102" s="140"/>
      <c r="D102" s="579"/>
      <c r="E102" s="579"/>
      <c r="F102" s="582"/>
      <c r="G102" s="584"/>
      <c r="H102" s="580"/>
      <c r="I102" s="580"/>
      <c r="J102" s="579"/>
      <c r="K102" s="582"/>
      <c r="L102" s="579"/>
      <c r="M102" s="579"/>
      <c r="N102" s="580"/>
      <c r="O102" s="580"/>
      <c r="P102" s="580"/>
      <c r="Q102" s="580"/>
      <c r="R102" s="580"/>
      <c r="S102" s="583"/>
      <c r="T102" s="585"/>
      <c r="U102" s="585"/>
      <c r="V102" s="581"/>
      <c r="W102" s="580"/>
      <c r="X102" s="580"/>
      <c r="Y102" s="580"/>
      <c r="Z102" s="141"/>
      <c r="AA102" s="129"/>
      <c r="AB102" s="2"/>
      <c r="AC102" s="2"/>
      <c r="AF102" s="145"/>
      <c r="AG102" s="145"/>
      <c r="AH102" s="145"/>
      <c r="AI102" s="145"/>
      <c r="AJ102" s="145"/>
      <c r="AK102" s="145"/>
      <c r="AL102" s="145"/>
    </row>
    <row r="103" spans="1:51" ht="17.25" customHeight="1">
      <c r="A103" s="6"/>
      <c r="B103" s="140"/>
      <c r="C103" s="143" t="str">
        <f>"페블테크 두께 "&amp;T92&amp;" 치환시 하부지반에 "&amp;X97&amp;"KN/㎡의 하중이 전달되어 "&amp;X101&amp;"KN/㎡의 하중이 감소됨"</f>
        <v>페블테크 두께 500 치환시 하부지반에 94.5KN/㎡의 하중이 전달되어 55.5KN/㎡의 하중이 감소됨</v>
      </c>
      <c r="D103" s="579"/>
      <c r="E103" s="579"/>
      <c r="F103" s="582"/>
      <c r="G103" s="584"/>
      <c r="H103" s="580"/>
      <c r="I103" s="580"/>
      <c r="J103" s="579"/>
      <c r="K103" s="582"/>
      <c r="L103" s="579"/>
      <c r="M103" s="579"/>
      <c r="N103" s="580"/>
      <c r="O103" s="580"/>
      <c r="P103" s="580"/>
      <c r="Q103" s="580"/>
      <c r="R103" s="580"/>
      <c r="S103" s="583"/>
      <c r="T103" s="585"/>
      <c r="U103" s="585"/>
      <c r="V103" s="581"/>
      <c r="W103" s="580"/>
      <c r="X103" s="580"/>
      <c r="Y103" s="580"/>
      <c r="Z103" s="141"/>
      <c r="AA103" s="129"/>
      <c r="AB103" s="2"/>
      <c r="AC103" s="2"/>
      <c r="AF103" s="145"/>
      <c r="AG103" s="145"/>
      <c r="AH103" s="145"/>
      <c r="AI103" s="145"/>
      <c r="AJ103" s="145"/>
      <c r="AK103" s="145"/>
      <c r="AL103" s="145"/>
      <c r="AX103" s="3"/>
      <c r="AY103" s="3"/>
    </row>
    <row r="104" spans="1:51" ht="17.25" customHeight="1">
      <c r="A104" s="6"/>
      <c r="B104" s="140"/>
      <c r="C104" s="140"/>
      <c r="D104" s="579"/>
      <c r="E104" s="579"/>
      <c r="F104" s="579"/>
      <c r="G104" s="579"/>
      <c r="H104" s="580"/>
      <c r="I104" s="580"/>
      <c r="J104" s="579"/>
      <c r="K104" s="579"/>
      <c r="L104" s="579"/>
      <c r="M104" s="579"/>
      <c r="N104" s="580"/>
      <c r="O104" s="580"/>
      <c r="P104" s="580"/>
      <c r="Q104" s="580"/>
      <c r="R104" s="580"/>
      <c r="S104" s="581"/>
      <c r="T104" s="581"/>
      <c r="U104" s="581"/>
      <c r="V104" s="581"/>
      <c r="W104" s="580"/>
      <c r="X104" s="580"/>
      <c r="Y104" s="580"/>
      <c r="Z104" s="141"/>
      <c r="AA104" s="129"/>
      <c r="AB104" s="2"/>
      <c r="AC104" s="2"/>
      <c r="AF104" s="145"/>
      <c r="AG104" s="145"/>
      <c r="AH104" s="145"/>
      <c r="AI104" s="145"/>
      <c r="AJ104" s="145"/>
      <c r="AK104" s="145"/>
      <c r="AL104" s="145"/>
      <c r="AX104" s="3"/>
      <c r="AY104" s="3"/>
    </row>
    <row r="105" spans="1:51" ht="17.25" customHeight="1">
      <c r="A105" s="6"/>
      <c r="B105" s="90" t="s">
        <v>137</v>
      </c>
      <c r="C105" s="74" t="s">
        <v>566</v>
      </c>
      <c r="D105" s="140"/>
      <c r="E105" s="140"/>
      <c r="F105" s="140"/>
      <c r="G105" s="140"/>
      <c r="H105" s="141"/>
      <c r="I105" s="141"/>
      <c r="J105" s="140"/>
      <c r="K105" s="140"/>
      <c r="L105" s="140"/>
      <c r="M105" s="596"/>
      <c r="N105" s="596"/>
      <c r="O105" s="141"/>
      <c r="P105" s="141"/>
      <c r="Q105" s="141"/>
      <c r="R105" s="141"/>
      <c r="S105" s="142"/>
      <c r="T105" s="142"/>
      <c r="U105" s="142"/>
      <c r="V105" s="142"/>
      <c r="W105" s="141"/>
      <c r="X105" s="141"/>
      <c r="Y105" s="141"/>
      <c r="Z105" s="141"/>
      <c r="AA105" s="129"/>
      <c r="AB105" s="2"/>
      <c r="AC105" s="2"/>
      <c r="AF105" s="145"/>
      <c r="AG105" s="145"/>
      <c r="AH105" s="145"/>
      <c r="AI105" s="145"/>
      <c r="AJ105" s="145"/>
      <c r="AK105" s="145"/>
      <c r="AL105" s="145"/>
      <c r="AX105" s="3"/>
      <c r="AY105" s="3"/>
    </row>
    <row r="106" spans="1:51" ht="6" customHeight="1">
      <c r="A106" s="6"/>
      <c r="B106" s="7"/>
      <c r="C106" s="6"/>
      <c r="D106" s="6"/>
      <c r="E106" s="6"/>
      <c r="F106" s="6"/>
      <c r="G106" s="74"/>
      <c r="H106" s="74"/>
      <c r="I106" s="74"/>
      <c r="J106" s="73"/>
      <c r="K106" s="73"/>
      <c r="L106" s="76"/>
      <c r="M106" s="76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119"/>
      <c r="Z106" s="76"/>
      <c r="AA106" s="129"/>
      <c r="AB106" s="2"/>
      <c r="AC106" s="2"/>
      <c r="AF106" s="145"/>
      <c r="AG106" s="145"/>
      <c r="AH106" s="145"/>
      <c r="AI106" s="145"/>
      <c r="AJ106" s="145"/>
      <c r="AK106" s="145"/>
      <c r="AL106" s="145"/>
    </row>
    <row r="107" spans="1:51" ht="17.25" customHeight="1">
      <c r="A107" s="6"/>
      <c r="B107" s="935" t="s">
        <v>48</v>
      </c>
      <c r="C107" s="874"/>
      <c r="D107" s="874"/>
      <c r="E107" s="852" t="s">
        <v>290</v>
      </c>
      <c r="F107" s="852"/>
      <c r="G107" s="852"/>
      <c r="H107" s="852"/>
      <c r="I107" s="852" t="s">
        <v>49</v>
      </c>
      <c r="J107" s="852"/>
      <c r="K107" s="874" t="s">
        <v>51</v>
      </c>
      <c r="L107" s="874"/>
      <c r="M107" s="874"/>
      <c r="N107" s="874" t="s">
        <v>52</v>
      </c>
      <c r="O107" s="874"/>
      <c r="P107" s="875" t="s">
        <v>565</v>
      </c>
      <c r="Q107" s="875"/>
      <c r="R107" s="941" t="s">
        <v>54</v>
      </c>
      <c r="S107" s="941"/>
      <c r="T107" s="941"/>
      <c r="U107" s="941" t="s">
        <v>55</v>
      </c>
      <c r="V107" s="941"/>
      <c r="W107" s="941"/>
      <c r="X107" s="1286" t="s">
        <v>172</v>
      </c>
      <c r="Y107" s="1286"/>
      <c r="Z107" s="1287"/>
      <c r="AA107" s="129"/>
      <c r="AB107" s="2"/>
      <c r="AC107" s="2"/>
      <c r="AD107" s="1290" t="s">
        <v>57</v>
      </c>
      <c r="AE107" s="1291"/>
      <c r="AF107" s="1291"/>
      <c r="AG107" s="1281" t="s">
        <v>496</v>
      </c>
      <c r="AH107" s="1281"/>
      <c r="AI107" s="1282"/>
      <c r="AJ107" s="145"/>
      <c r="AK107" s="145"/>
      <c r="AL107" s="145"/>
    </row>
    <row r="108" spans="1:51" ht="17.25" customHeight="1">
      <c r="A108" s="6"/>
      <c r="B108" s="936"/>
      <c r="C108" s="937"/>
      <c r="D108" s="937"/>
      <c r="E108" s="869" t="s">
        <v>14</v>
      </c>
      <c r="F108" s="869"/>
      <c r="G108" s="869"/>
      <c r="H108" s="869"/>
      <c r="I108" s="853" t="s">
        <v>14</v>
      </c>
      <c r="J108" s="853"/>
      <c r="K108" s="876" t="s">
        <v>15</v>
      </c>
      <c r="L108" s="876"/>
      <c r="M108" s="876"/>
      <c r="N108" s="876" t="s">
        <v>15</v>
      </c>
      <c r="O108" s="876"/>
      <c r="P108" s="876"/>
      <c r="Q108" s="876"/>
      <c r="R108" s="876" t="s">
        <v>61</v>
      </c>
      <c r="S108" s="876"/>
      <c r="T108" s="876"/>
      <c r="U108" s="1285" t="s">
        <v>15</v>
      </c>
      <c r="V108" s="1285"/>
      <c r="W108" s="1285"/>
      <c r="X108" s="1288"/>
      <c r="Y108" s="1288"/>
      <c r="Z108" s="1289"/>
      <c r="AA108" s="129"/>
      <c r="AB108" s="2"/>
      <c r="AC108" s="2"/>
      <c r="AD108" s="1292"/>
      <c r="AE108" s="1293"/>
      <c r="AF108" s="1293"/>
      <c r="AG108" s="1283"/>
      <c r="AH108" s="1283"/>
      <c r="AI108" s="1284"/>
      <c r="AJ108" s="145"/>
      <c r="AK108" s="145"/>
      <c r="AL108" s="145"/>
    </row>
    <row r="109" spans="1:51" ht="17.25" customHeight="1">
      <c r="A109" s="6"/>
      <c r="B109" s="922" t="str">
        <f>+B14</f>
        <v>매립층</v>
      </c>
      <c r="C109" s="923"/>
      <c r="D109" s="923"/>
      <c r="E109" s="924">
        <f>+N5</f>
        <v>0.16</v>
      </c>
      <c r="F109" s="924"/>
      <c r="G109" s="940">
        <f>+F14</f>
        <v>3.5</v>
      </c>
      <c r="H109" s="940"/>
      <c r="I109" s="870">
        <f t="shared" ref="I109" si="8">G109-E109</f>
        <v>3.34</v>
      </c>
      <c r="J109" s="870"/>
      <c r="K109" s="927">
        <f>IF(K14="","",VLOOKUP(B109,$B$14:$Z$18,10,FALSE))</f>
        <v>18</v>
      </c>
      <c r="L109" s="927"/>
      <c r="M109" s="927"/>
      <c r="N109" s="870">
        <f>IF(N14="","",+VLOOKUP(B109,$B$14:$W$18,13,FALSE))</f>
        <v>0</v>
      </c>
      <c r="O109" s="870"/>
      <c r="P109" s="1035">
        <f>N109*I109</f>
        <v>0</v>
      </c>
      <c r="Q109" s="1035"/>
      <c r="R109" s="927">
        <f>+VLOOKUP(B109,$B$14:$W$18,15,FALSE)</f>
        <v>21</v>
      </c>
      <c r="S109" s="927"/>
      <c r="T109" s="927"/>
      <c r="U109" s="1216">
        <f>IF(U14="","",VLOOKUP(B109,$B$14:$W$18,20,FALSE))</f>
        <v>9500</v>
      </c>
      <c r="V109" s="1216"/>
      <c r="W109" s="1216"/>
      <c r="X109" s="933"/>
      <c r="Y109" s="933"/>
      <c r="Z109" s="934"/>
      <c r="AA109" s="129"/>
      <c r="AB109" s="2"/>
      <c r="AC109" s="2"/>
      <c r="AD109" s="847">
        <f t="shared" ref="AD109:AD114" si="9">+ROUND(RADIANS(R109),4)</f>
        <v>0.36649999999999999</v>
      </c>
      <c r="AE109" s="847"/>
      <c r="AF109" s="847"/>
      <c r="AG109" s="847">
        <f>+ROUND(TAN(AD109)*I109,4)</f>
        <v>1.282</v>
      </c>
      <c r="AH109" s="847"/>
      <c r="AI109" s="847"/>
      <c r="AJ109" s="145"/>
      <c r="AK109" s="145"/>
      <c r="AL109" s="145"/>
    </row>
    <row r="110" spans="1:51" ht="17.25" customHeight="1">
      <c r="A110" s="6"/>
      <c r="B110" s="922" t="str">
        <f>+B15</f>
        <v>퇴적층</v>
      </c>
      <c r="C110" s="923"/>
      <c r="D110" s="923"/>
      <c r="E110" s="924">
        <f t="shared" ref="E110:E111" si="10">IF(D15="","",D15)</f>
        <v>3.5</v>
      </c>
      <c r="F110" s="924"/>
      <c r="G110" s="940">
        <f t="shared" ref="G110" si="11">+F15</f>
        <v>6.7</v>
      </c>
      <c r="H110" s="940"/>
      <c r="I110" s="870">
        <f t="shared" ref="I110:I111" si="12">G110-E110</f>
        <v>3.2</v>
      </c>
      <c r="J110" s="870"/>
      <c r="K110" s="927">
        <f>IF(K15="","",VLOOKUP(B110,$B$14:$Z$18,10,FALSE))</f>
        <v>18</v>
      </c>
      <c r="L110" s="927"/>
      <c r="M110" s="927"/>
      <c r="N110" s="870">
        <f>IF(N15="","",+VLOOKUP(B110,$B$14:$W$18,13,FALSE))</f>
        <v>0</v>
      </c>
      <c r="O110" s="870"/>
      <c r="P110" s="1035">
        <f>N110*I110</f>
        <v>0</v>
      </c>
      <c r="Q110" s="1035"/>
      <c r="R110" s="927">
        <f t="shared" ref="R110:R111" si="13">+VLOOKUP(B110,$B$14:$W$18,15,FALSE)</f>
        <v>23</v>
      </c>
      <c r="S110" s="927"/>
      <c r="T110" s="927"/>
      <c r="U110" s="1216">
        <f>IF(U15="","",VLOOKUP(B110,$B$14:$W$18,20,FALSE))</f>
        <v>10000</v>
      </c>
      <c r="V110" s="1216"/>
      <c r="W110" s="1216"/>
      <c r="X110" s="933"/>
      <c r="Y110" s="933"/>
      <c r="Z110" s="934"/>
      <c r="AA110" s="129"/>
      <c r="AB110" s="2"/>
      <c r="AC110" s="2"/>
      <c r="AD110" s="847">
        <f t="shared" si="9"/>
        <v>0.40139999999999998</v>
      </c>
      <c r="AE110" s="847"/>
      <c r="AF110" s="847"/>
      <c r="AG110" s="847">
        <f>+ROUND(TAN(AD110)*I110,4)</f>
        <v>1.3582000000000001</v>
      </c>
      <c r="AH110" s="847"/>
      <c r="AI110" s="847"/>
      <c r="AJ110" s="145"/>
      <c r="AK110" s="145"/>
      <c r="AL110" s="145"/>
    </row>
    <row r="111" spans="1:51" ht="17.25" customHeight="1">
      <c r="A111" s="6"/>
      <c r="B111" s="922" t="str">
        <f>+B16</f>
        <v>풍화암</v>
      </c>
      <c r="C111" s="923"/>
      <c r="D111" s="923"/>
      <c r="E111" s="924">
        <f t="shared" si="10"/>
        <v>6.7</v>
      </c>
      <c r="F111" s="924"/>
      <c r="G111" s="940">
        <v>7.7</v>
      </c>
      <c r="H111" s="940"/>
      <c r="I111" s="870">
        <f t="shared" si="12"/>
        <v>1</v>
      </c>
      <c r="J111" s="870"/>
      <c r="K111" s="927">
        <f>IF(K16="","",VLOOKUP(B111,$B$14:$Z$18,10,FALSE))</f>
        <v>20</v>
      </c>
      <c r="L111" s="927"/>
      <c r="M111" s="927"/>
      <c r="N111" s="870">
        <f>IF(N16="","",+VLOOKUP(B111,$B$14:$W$18,13,FALSE))</f>
        <v>20</v>
      </c>
      <c r="O111" s="870"/>
      <c r="P111" s="1035">
        <f>N111*I111</f>
        <v>20</v>
      </c>
      <c r="Q111" s="1035"/>
      <c r="R111" s="927">
        <f t="shared" si="13"/>
        <v>30</v>
      </c>
      <c r="S111" s="927"/>
      <c r="T111" s="927"/>
      <c r="U111" s="1216">
        <f>IF(U16="","",VLOOKUP(B111,$B$14:$W$18,20,FALSE))</f>
        <v>700000.00000000012</v>
      </c>
      <c r="V111" s="1216"/>
      <c r="W111" s="1216"/>
      <c r="X111" s="933"/>
      <c r="Y111" s="933"/>
      <c r="Z111" s="934"/>
      <c r="AA111" s="129"/>
      <c r="AB111" s="2"/>
      <c r="AC111" s="2"/>
      <c r="AD111" s="847">
        <f t="shared" si="9"/>
        <v>0.52359999999999995</v>
      </c>
      <c r="AE111" s="847"/>
      <c r="AF111" s="847"/>
      <c r="AG111" s="847">
        <f>+ROUND(TAN(AD111)*I111,5)</f>
        <v>0.57735000000000003</v>
      </c>
      <c r="AH111" s="847"/>
      <c r="AI111" s="847"/>
      <c r="AJ111" s="145"/>
      <c r="AK111" s="145"/>
      <c r="AL111" s="145"/>
    </row>
    <row r="112" spans="1:51" ht="17.25" customHeight="1">
      <c r="A112" s="6"/>
      <c r="B112" s="922"/>
      <c r="C112" s="923"/>
      <c r="D112" s="923"/>
      <c r="E112" s="924"/>
      <c r="F112" s="924"/>
      <c r="G112" s="940"/>
      <c r="H112" s="940"/>
      <c r="I112" s="870"/>
      <c r="J112" s="870"/>
      <c r="K112" s="927"/>
      <c r="L112" s="927"/>
      <c r="M112" s="927"/>
      <c r="N112" s="870"/>
      <c r="O112" s="870"/>
      <c r="P112" s="1035"/>
      <c r="Q112" s="1035"/>
      <c r="R112" s="927"/>
      <c r="S112" s="927"/>
      <c r="T112" s="927"/>
      <c r="U112" s="1216"/>
      <c r="V112" s="1216"/>
      <c r="W112" s="1216"/>
      <c r="X112" s="933"/>
      <c r="Y112" s="933"/>
      <c r="Z112" s="934"/>
      <c r="AA112" s="129"/>
      <c r="AB112" s="2"/>
      <c r="AC112" s="2"/>
      <c r="AD112" s="847">
        <f t="shared" si="9"/>
        <v>0</v>
      </c>
      <c r="AE112" s="847"/>
      <c r="AF112" s="847"/>
      <c r="AG112" s="847">
        <f>+ROUND(TAN(AD112)*I112,5)</f>
        <v>0</v>
      </c>
      <c r="AH112" s="847"/>
      <c r="AI112" s="847"/>
      <c r="AJ112" s="145"/>
      <c r="AK112" s="145"/>
      <c r="AL112" s="145"/>
    </row>
    <row r="113" spans="1:54" ht="17.25" customHeight="1">
      <c r="A113" s="6"/>
      <c r="B113" s="922"/>
      <c r="C113" s="923"/>
      <c r="D113" s="923"/>
      <c r="E113" s="924"/>
      <c r="F113" s="924"/>
      <c r="G113" s="940"/>
      <c r="H113" s="940"/>
      <c r="I113" s="870"/>
      <c r="J113" s="870"/>
      <c r="K113" s="927"/>
      <c r="L113" s="927"/>
      <c r="M113" s="927"/>
      <c r="N113" s="870"/>
      <c r="O113" s="870"/>
      <c r="P113" s="1035"/>
      <c r="Q113" s="1035"/>
      <c r="R113" s="927"/>
      <c r="S113" s="927"/>
      <c r="T113" s="927"/>
      <c r="U113" s="1216"/>
      <c r="V113" s="1216"/>
      <c r="W113" s="1216"/>
      <c r="X113" s="933"/>
      <c r="Y113" s="933"/>
      <c r="Z113" s="934"/>
      <c r="AA113" s="129"/>
      <c r="AB113" s="2"/>
      <c r="AC113" s="2"/>
      <c r="AD113" s="847">
        <f t="shared" si="9"/>
        <v>0</v>
      </c>
      <c r="AE113" s="847"/>
      <c r="AF113" s="847"/>
      <c r="AG113" s="847">
        <f>+ROUND(TAN(AD113)*I113,5)</f>
        <v>0</v>
      </c>
      <c r="AH113" s="847"/>
      <c r="AI113" s="847"/>
      <c r="AJ113" s="145"/>
      <c r="AK113" s="145"/>
      <c r="AL113" s="145"/>
    </row>
    <row r="114" spans="1:54" ht="17.25" customHeight="1">
      <c r="A114" s="6"/>
      <c r="B114" s="1052"/>
      <c r="C114" s="1053"/>
      <c r="D114" s="1053"/>
      <c r="E114" s="924"/>
      <c r="F114" s="924"/>
      <c r="G114" s="940"/>
      <c r="H114" s="940"/>
      <c r="I114" s="870"/>
      <c r="J114" s="870"/>
      <c r="K114" s="927"/>
      <c r="L114" s="927"/>
      <c r="M114" s="927"/>
      <c r="N114" s="870"/>
      <c r="O114" s="870"/>
      <c r="P114" s="1035"/>
      <c r="Q114" s="1035"/>
      <c r="R114" s="927"/>
      <c r="S114" s="927"/>
      <c r="T114" s="927"/>
      <c r="U114" s="1216"/>
      <c r="V114" s="1216"/>
      <c r="W114" s="1216"/>
      <c r="X114" s="933"/>
      <c r="Y114" s="933"/>
      <c r="Z114" s="934"/>
      <c r="AA114" s="129"/>
      <c r="AB114" s="2"/>
      <c r="AC114" s="2"/>
      <c r="AD114" s="847">
        <f t="shared" si="9"/>
        <v>0</v>
      </c>
      <c r="AE114" s="847"/>
      <c r="AF114" s="847"/>
      <c r="AG114" s="847">
        <f>+ROUND(TAN(AD114)*I114,5)</f>
        <v>0</v>
      </c>
      <c r="AH114" s="847"/>
      <c r="AI114" s="847"/>
      <c r="AJ114" s="145"/>
      <c r="AK114" s="145"/>
      <c r="AL114" s="145"/>
    </row>
    <row r="115" spans="1:54" ht="17.25" customHeight="1">
      <c r="A115" s="6"/>
      <c r="B115" s="1183" t="s">
        <v>77</v>
      </c>
      <c r="C115" s="858"/>
      <c r="D115" s="858"/>
      <c r="E115" s="858"/>
      <c r="F115" s="858"/>
      <c r="G115" s="858"/>
      <c r="H115" s="858"/>
      <c r="I115" s="857">
        <f>ROUND(SUM(I109:J114),2)</f>
        <v>7.54</v>
      </c>
      <c r="J115" s="857"/>
      <c r="K115" s="1226"/>
      <c r="L115" s="1226"/>
      <c r="M115" s="1226"/>
      <c r="N115" s="1299"/>
      <c r="O115" s="1299"/>
      <c r="P115" s="1300">
        <f>SUM(P109:Q114)</f>
        <v>20</v>
      </c>
      <c r="Q115" s="1301"/>
      <c r="R115" s="1302"/>
      <c r="S115" s="1302"/>
      <c r="T115" s="1302"/>
      <c r="U115" s="1270"/>
      <c r="V115" s="1270"/>
      <c r="W115" s="1270"/>
      <c r="X115" s="1271"/>
      <c r="Y115" s="1271"/>
      <c r="Z115" s="1272"/>
      <c r="AA115" s="129"/>
      <c r="AB115" s="2"/>
      <c r="AC115" s="2"/>
      <c r="AD115" s="1297" t="s">
        <v>522</v>
      </c>
      <c r="AE115" s="1298"/>
      <c r="AF115" s="1298"/>
      <c r="AG115" s="847">
        <f>SUM(AG109:AG114)</f>
        <v>3.2175500000000001</v>
      </c>
      <c r="AH115" s="847"/>
      <c r="AI115" s="847"/>
      <c r="AJ115" s="145"/>
      <c r="AK115" s="145"/>
      <c r="AL115" s="145"/>
    </row>
    <row r="116" spans="1:54" ht="11.25" customHeight="1">
      <c r="A116" s="6"/>
      <c r="B116" s="590"/>
      <c r="C116" s="590"/>
      <c r="D116" s="590"/>
      <c r="E116" s="590"/>
      <c r="F116" s="590"/>
      <c r="G116" s="590"/>
      <c r="H116" s="706"/>
      <c r="I116" s="706"/>
      <c r="J116" s="706"/>
      <c r="K116" s="2"/>
      <c r="L116" s="2"/>
      <c r="M116" s="2"/>
      <c r="N116" s="401"/>
      <c r="O116" s="401"/>
      <c r="P116" s="707"/>
      <c r="Q116" s="707"/>
      <c r="R116" s="708"/>
      <c r="S116" s="708"/>
      <c r="T116" s="708"/>
      <c r="U116" s="709"/>
      <c r="V116" s="709"/>
      <c r="W116" s="709"/>
      <c r="X116" s="466"/>
      <c r="Y116" s="466"/>
      <c r="Z116" s="466"/>
      <c r="AA116" s="129"/>
      <c r="AB116" s="2"/>
      <c r="AC116" s="2"/>
      <c r="AD116" s="847" t="s">
        <v>81</v>
      </c>
      <c r="AE116" s="847"/>
      <c r="AF116" s="847"/>
      <c r="AG116" s="847">
        <f>ROUND(+AG115/I115,5)</f>
        <v>0.42673</v>
      </c>
      <c r="AH116" s="847"/>
      <c r="AI116" s="847"/>
      <c r="AJ116" s="145"/>
      <c r="AK116" s="145"/>
      <c r="AL116" s="145"/>
    </row>
    <row r="117" spans="1:54" ht="17.25" customHeight="1">
      <c r="A117" s="6"/>
      <c r="B117" s="143" t="s">
        <v>165</v>
      </c>
      <c r="C117" s="140"/>
      <c r="D117" s="140"/>
      <c r="E117" s="140"/>
      <c r="F117" s="1242">
        <v>2.1</v>
      </c>
      <c r="G117" s="1242"/>
      <c r="H117" s="141" t="s">
        <v>184</v>
      </c>
      <c r="I117" s="144" t="s">
        <v>90</v>
      </c>
      <c r="J117" s="926">
        <f>ROUND(E92*F117,1)</f>
        <v>8</v>
      </c>
      <c r="K117" s="926"/>
      <c r="L117" s="711" t="s">
        <v>14</v>
      </c>
      <c r="M117" s="543" t="s">
        <v>528</v>
      </c>
      <c r="O117" s="141"/>
      <c r="P117" s="141"/>
      <c r="Q117" s="141"/>
      <c r="R117" s="77"/>
      <c r="S117" s="77"/>
      <c r="T117" s="589"/>
      <c r="U117" s="589"/>
      <c r="V117" s="589"/>
      <c r="W117" s="155"/>
      <c r="X117" s="155"/>
      <c r="Y117" s="155"/>
      <c r="Z117" s="155"/>
      <c r="AA117" s="155"/>
      <c r="AB117" s="2"/>
      <c r="AC117" s="2"/>
      <c r="AD117" s="1265" t="s">
        <v>174</v>
      </c>
      <c r="AE117" s="1266"/>
      <c r="AF117" s="1267"/>
      <c r="AG117" s="1294">
        <f>+ROUND(ATAN(AG116),3)</f>
        <v>0.40300000000000002</v>
      </c>
      <c r="AH117" s="1295"/>
      <c r="AI117" s="1296"/>
      <c r="AJ117" s="145"/>
      <c r="AK117" t="s">
        <v>179</v>
      </c>
      <c r="AL117" s="85"/>
      <c r="AM117" s="85">
        <f>+K109</f>
        <v>18</v>
      </c>
      <c r="AN117" s="164" t="s">
        <v>180</v>
      </c>
      <c r="AO117" s="597">
        <f>+F5</f>
        <v>3.8</v>
      </c>
      <c r="AP117" s="165" t="s">
        <v>181</v>
      </c>
      <c r="AQ117" s="85">
        <f>+AR118</f>
        <v>5.3</v>
      </c>
      <c r="AR117" s="166" t="s">
        <v>90</v>
      </c>
      <c r="AS117" s="1261">
        <f>+AM117*AO117/AQ117</f>
        <v>12.905660377358489</v>
      </c>
      <c r="AT117" s="1261"/>
      <c r="AU117" s="167"/>
      <c r="AX117" t="s">
        <v>182</v>
      </c>
      <c r="AY117" t="s">
        <v>51</v>
      </c>
    </row>
    <row r="118" spans="1:54" ht="17.25" customHeight="1">
      <c r="A118" s="6"/>
      <c r="B118" s="143"/>
      <c r="C118" s="140"/>
      <c r="D118" s="140"/>
      <c r="E118" s="140"/>
      <c r="F118" s="140"/>
      <c r="G118" s="140"/>
      <c r="H118" s="141"/>
      <c r="J118" s="144"/>
      <c r="K118" s="141"/>
      <c r="L118" s="141"/>
      <c r="M118" s="141"/>
      <c r="N118" s="543"/>
      <c r="O118" s="141"/>
      <c r="P118" s="141"/>
      <c r="Q118" s="141"/>
      <c r="R118" s="77"/>
      <c r="S118" s="77"/>
      <c r="T118" s="589"/>
      <c r="U118" s="589"/>
      <c r="V118" s="589"/>
      <c r="W118" s="155"/>
      <c r="X118" s="155"/>
      <c r="Y118" s="155"/>
      <c r="Z118" s="155"/>
      <c r="AA118" s="155"/>
      <c r="AB118" s="46"/>
      <c r="AC118" s="2"/>
      <c r="AD118" s="1269" t="s">
        <v>175</v>
      </c>
      <c r="AE118" s="1269"/>
      <c r="AF118" s="1269"/>
      <c r="AG118" s="1269">
        <f>ROUND(DEGREES(AG117),2)</f>
        <v>23.09</v>
      </c>
      <c r="AH118" s="1269"/>
      <c r="AI118" s="1269"/>
      <c r="AJ118" s="145"/>
      <c r="AK118" t="s">
        <v>183</v>
      </c>
      <c r="AL118" s="85"/>
      <c r="AM118" s="85">
        <v>2</v>
      </c>
      <c r="AN118" s="164" t="s">
        <v>180</v>
      </c>
      <c r="AO118" s="1262">
        <f>+U119</f>
        <v>2.65</v>
      </c>
      <c r="AP118" s="1262"/>
      <c r="AQ118" s="164" t="s">
        <v>90</v>
      </c>
      <c r="AR118">
        <f>+AO118*AM118</f>
        <v>5.3</v>
      </c>
      <c r="AS118" s="512"/>
      <c r="AT118" s="512"/>
      <c r="AU118"/>
      <c r="AX118" t="s">
        <v>184</v>
      </c>
      <c r="AY118" t="s">
        <v>185</v>
      </c>
    </row>
    <row r="119" spans="1:54" ht="12" customHeight="1">
      <c r="A119" s="6"/>
      <c r="B119" s="590"/>
      <c r="C119" s="590"/>
      <c r="D119" s="590"/>
      <c r="E119" s="590"/>
      <c r="F119" s="590"/>
      <c r="G119" s="590"/>
      <c r="H119" s="73" t="s">
        <v>176</v>
      </c>
      <c r="J119" s="76"/>
      <c r="L119" s="76"/>
      <c r="M119" s="76"/>
      <c r="N119" s="74" t="s">
        <v>89</v>
      </c>
      <c r="O119" s="77"/>
      <c r="P119" s="73" t="str">
        <f>P115&amp;" / ("&amp;I115&amp;")"</f>
        <v>20 / (7.54)</v>
      </c>
      <c r="Q119" s="77"/>
      <c r="R119" s="77"/>
      <c r="S119" s="77"/>
      <c r="T119" s="119" t="s">
        <v>90</v>
      </c>
      <c r="U119" s="1268">
        <f>+ROUND($P$115/($I$115),2)</f>
        <v>2.65</v>
      </c>
      <c r="V119" s="1268"/>
      <c r="W119" s="1268"/>
      <c r="X119" s="466"/>
      <c r="Y119" s="466"/>
      <c r="Z119" s="466"/>
      <c r="AA119" s="129"/>
      <c r="AC119" s="2"/>
      <c r="AF119" s="145"/>
      <c r="AG119" s="145"/>
      <c r="AH119" s="145"/>
      <c r="AI119" s="145"/>
      <c r="AJ119" s="145"/>
      <c r="AK119" s="145"/>
      <c r="AL119" s="145"/>
      <c r="AX119" t="s">
        <v>186</v>
      </c>
      <c r="AY119" t="s">
        <v>187</v>
      </c>
    </row>
    <row r="120" spans="1:54" ht="17.25" customHeight="1">
      <c r="A120" s="6"/>
      <c r="B120" s="590"/>
      <c r="C120" s="590"/>
      <c r="D120" s="590"/>
      <c r="E120" s="590"/>
      <c r="F120" s="590"/>
      <c r="G120" s="590"/>
      <c r="H120" s="73" t="s">
        <v>94</v>
      </c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 t="s">
        <v>90</v>
      </c>
      <c r="U120" s="1268">
        <f>+AG118</f>
        <v>23.09</v>
      </c>
      <c r="V120" s="1268"/>
      <c r="W120" s="1268"/>
      <c r="X120" s="466"/>
      <c r="Y120" s="466"/>
      <c r="Z120" s="466"/>
      <c r="AA120" s="129"/>
      <c r="AC120" s="2"/>
      <c r="AF120" s="755">
        <f>AI499</f>
        <v>1.9943025641025642</v>
      </c>
      <c r="AG120" s="756" t="s">
        <v>853</v>
      </c>
      <c r="AH120" s="145"/>
      <c r="AI120" s="145"/>
      <c r="AJ120" s="145"/>
      <c r="AK120" t="s">
        <v>188</v>
      </c>
      <c r="AL120"/>
      <c r="AM120"/>
      <c r="AN120"/>
      <c r="AO120"/>
      <c r="AP120"/>
      <c r="AQ120"/>
      <c r="AR120"/>
      <c r="AS120" s="1263">
        <f>+ROUND(DEGREES(AG117),2)</f>
        <v>23.09</v>
      </c>
      <c r="AT120" s="1263"/>
    </row>
    <row r="121" spans="1:54" ht="5.25" customHeight="1">
      <c r="A121" s="6"/>
      <c r="B121" s="590"/>
      <c r="C121" s="590"/>
      <c r="D121" s="590"/>
      <c r="E121" s="590"/>
      <c r="F121" s="590"/>
      <c r="G121" s="590"/>
      <c r="H121" s="73"/>
      <c r="I121" s="74"/>
      <c r="J121" s="76"/>
      <c r="K121" s="161"/>
      <c r="L121" s="162"/>
      <c r="M121" s="162"/>
      <c r="N121" s="163"/>
      <c r="O121" s="163"/>
      <c r="P121" s="163"/>
      <c r="Q121" s="77"/>
      <c r="R121" s="77"/>
      <c r="S121" s="77"/>
      <c r="T121" s="119"/>
      <c r="U121" s="578"/>
      <c r="V121" s="578"/>
      <c r="W121" s="578"/>
      <c r="X121" s="466"/>
      <c r="Y121" s="466"/>
      <c r="Z121" s="466"/>
      <c r="AA121" s="129"/>
      <c r="AC121" s="2"/>
      <c r="AF121" s="145"/>
      <c r="AG121" s="145"/>
      <c r="AH121" s="145"/>
      <c r="AI121" s="145"/>
      <c r="AJ121" s="145"/>
      <c r="AK121" s="145"/>
      <c r="AL121" s="145"/>
    </row>
    <row r="122" spans="1:54" ht="24" customHeight="1">
      <c r="A122" s="6"/>
      <c r="B122" s="90" t="s">
        <v>570</v>
      </c>
      <c r="C122" s="74" t="s">
        <v>167</v>
      </c>
      <c r="D122" s="140"/>
      <c r="E122" s="140"/>
      <c r="F122" s="140"/>
      <c r="G122" s="140"/>
      <c r="H122" s="141"/>
      <c r="I122" s="141"/>
      <c r="J122" s="140"/>
      <c r="K122" s="140"/>
      <c r="L122" s="140"/>
      <c r="M122" s="140"/>
      <c r="N122" s="141"/>
      <c r="O122" s="141"/>
      <c r="P122" s="141"/>
      <c r="Q122" s="141"/>
      <c r="R122" s="141"/>
      <c r="S122" s="142"/>
      <c r="T122" s="142"/>
      <c r="U122" s="142"/>
      <c r="V122" s="142"/>
      <c r="W122" s="141"/>
      <c r="X122" s="141"/>
      <c r="Y122" s="141"/>
      <c r="Z122" s="141"/>
      <c r="AA122" s="129"/>
      <c r="AC122" s="2"/>
      <c r="AF122" s="145"/>
      <c r="AG122" s="145"/>
      <c r="AH122" s="145"/>
      <c r="AI122" s="145"/>
      <c r="AJ122" s="145"/>
      <c r="AK122" s="171" t="s">
        <v>189</v>
      </c>
      <c r="AL122" s="1264" t="s">
        <v>568</v>
      </c>
      <c r="AM122" s="1264"/>
      <c r="AN122" s="85" t="s">
        <v>190</v>
      </c>
      <c r="AP122" s="1273">
        <v>2.2999999999999998</v>
      </c>
      <c r="AQ122" s="1273"/>
      <c r="AR122" s="85" t="s">
        <v>191</v>
      </c>
      <c r="AU122" s="1273">
        <f>ROUND(AP122*E92,1)</f>
        <v>8.6999999999999993</v>
      </c>
      <c r="AV122" s="1273"/>
      <c r="AW122" s="3" t="s">
        <v>14</v>
      </c>
      <c r="AX122" s="3"/>
      <c r="AY122" s="3"/>
    </row>
    <row r="123" spans="1:54" ht="6" customHeight="1">
      <c r="A123" s="6"/>
      <c r="B123" s="7"/>
      <c r="C123" s="6"/>
      <c r="D123" s="6"/>
      <c r="E123" s="6"/>
      <c r="F123" s="6"/>
      <c r="G123" s="74"/>
      <c r="H123" s="74"/>
      <c r="I123" s="74"/>
      <c r="J123" s="73"/>
      <c r="K123" s="73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119"/>
      <c r="Z123" s="76"/>
      <c r="AA123" s="76"/>
      <c r="AC123" s="2"/>
      <c r="AF123" s="145"/>
      <c r="AG123" s="145"/>
      <c r="AH123" s="145"/>
      <c r="AI123" s="145"/>
      <c r="AJ123" s="145"/>
      <c r="AK123" s="145"/>
      <c r="AL123" s="145"/>
    </row>
    <row r="124" spans="1:54" ht="22.5" customHeight="1">
      <c r="A124" s="6"/>
      <c r="B124" s="935" t="s">
        <v>48</v>
      </c>
      <c r="C124" s="874"/>
      <c r="D124" s="874"/>
      <c r="E124" s="852" t="s">
        <v>290</v>
      </c>
      <c r="F124" s="852"/>
      <c r="G124" s="852"/>
      <c r="H124" s="852"/>
      <c r="I124" s="852" t="s">
        <v>49</v>
      </c>
      <c r="J124" s="852"/>
      <c r="K124" s="874" t="s">
        <v>51</v>
      </c>
      <c r="L124" s="874"/>
      <c r="M124" s="874"/>
      <c r="N124" s="874" t="s">
        <v>52</v>
      </c>
      <c r="O124" s="874"/>
      <c r="P124" s="875" t="s">
        <v>565</v>
      </c>
      <c r="Q124" s="875"/>
      <c r="R124" s="941" t="s">
        <v>54</v>
      </c>
      <c r="S124" s="941"/>
      <c r="T124" s="941"/>
      <c r="U124" s="941" t="s">
        <v>55</v>
      </c>
      <c r="V124" s="941"/>
      <c r="W124" s="941"/>
      <c r="X124" s="1286" t="s">
        <v>172</v>
      </c>
      <c r="Y124" s="1286"/>
      <c r="Z124" s="1287"/>
      <c r="AA124" s="77"/>
      <c r="AD124" s="1290" t="s">
        <v>57</v>
      </c>
      <c r="AE124" s="1291"/>
      <c r="AF124" s="1291"/>
      <c r="AG124" s="1281" t="s">
        <v>496</v>
      </c>
      <c r="AH124" s="1281"/>
      <c r="AI124" s="1282"/>
      <c r="AX124" s="3"/>
      <c r="AY124" s="3"/>
    </row>
    <row r="125" spans="1:54" ht="17.25" customHeight="1">
      <c r="A125" s="6"/>
      <c r="B125" s="936"/>
      <c r="C125" s="937"/>
      <c r="D125" s="937"/>
      <c r="E125" s="869" t="s">
        <v>14</v>
      </c>
      <c r="F125" s="869"/>
      <c r="G125" s="869"/>
      <c r="H125" s="869"/>
      <c r="I125" s="853" t="s">
        <v>14</v>
      </c>
      <c r="J125" s="853"/>
      <c r="K125" s="876" t="s">
        <v>15</v>
      </c>
      <c r="L125" s="876"/>
      <c r="M125" s="876"/>
      <c r="N125" s="876" t="s">
        <v>15</v>
      </c>
      <c r="O125" s="876"/>
      <c r="P125" s="876"/>
      <c r="Q125" s="876"/>
      <c r="R125" s="876" t="s">
        <v>61</v>
      </c>
      <c r="S125" s="876"/>
      <c r="T125" s="876"/>
      <c r="U125" s="1285" t="s">
        <v>15</v>
      </c>
      <c r="V125" s="1285"/>
      <c r="W125" s="1285"/>
      <c r="X125" s="1288"/>
      <c r="Y125" s="1288"/>
      <c r="Z125" s="1289"/>
      <c r="AA125" s="77"/>
      <c r="AD125" s="1292"/>
      <c r="AE125" s="1293"/>
      <c r="AF125" s="1293"/>
      <c r="AG125" s="1283"/>
      <c r="AH125" s="1283"/>
      <c r="AI125" s="1284"/>
      <c r="AX125" s="3"/>
      <c r="AY125" s="3"/>
      <c r="BB125" s="5"/>
    </row>
    <row r="126" spans="1:54" ht="17.25" customHeight="1">
      <c r="A126" s="6"/>
      <c r="B126" s="938" t="s">
        <v>402</v>
      </c>
      <c r="C126" s="939"/>
      <c r="D126" s="939"/>
      <c r="E126" s="924">
        <f>+N5</f>
        <v>0.16</v>
      </c>
      <c r="F126" s="924"/>
      <c r="G126" s="850">
        <f>+E126+T92/1000</f>
        <v>0.66</v>
      </c>
      <c r="H126" s="850"/>
      <c r="I126" s="854">
        <v>0</v>
      </c>
      <c r="J126" s="854"/>
      <c r="K126" s="1054">
        <v>19</v>
      </c>
      <c r="L126" s="1054"/>
      <c r="M126" s="1054"/>
      <c r="N126" s="854">
        <f>AD55</f>
        <v>0</v>
      </c>
      <c r="O126" s="854"/>
      <c r="P126" s="1058">
        <f>N126*I126</f>
        <v>0</v>
      </c>
      <c r="Q126" s="1058"/>
      <c r="R126" s="1054">
        <f>+Q92</f>
        <v>45</v>
      </c>
      <c r="S126" s="1054"/>
      <c r="T126" s="1054"/>
      <c r="U126" s="1055">
        <v>200000</v>
      </c>
      <c r="V126" s="1055"/>
      <c r="W126" s="1055"/>
      <c r="X126" s="1056"/>
      <c r="Y126" s="1056"/>
      <c r="Z126" s="1057"/>
      <c r="AA126" s="77"/>
      <c r="AD126" s="847">
        <f t="shared" ref="AD126:AD131" si="14">+ROUND(RADIANS(R126),4)</f>
        <v>0.78539999999999999</v>
      </c>
      <c r="AE126" s="847"/>
      <c r="AF126" s="847"/>
      <c r="AG126" s="847">
        <f>+ROUND(TAN(AD126)*I126,4)</f>
        <v>0</v>
      </c>
      <c r="AH126" s="847"/>
      <c r="AI126" s="847"/>
      <c r="AX126" s="3"/>
      <c r="AY126" s="3"/>
    </row>
    <row r="127" spans="1:54" ht="17.25" customHeight="1">
      <c r="A127" s="6"/>
      <c r="B127" s="922" t="str">
        <f>+B14</f>
        <v>매립층</v>
      </c>
      <c r="C127" s="923"/>
      <c r="D127" s="923"/>
      <c r="E127" s="925">
        <f>+G126</f>
        <v>0.66</v>
      </c>
      <c r="F127" s="925"/>
      <c r="G127" s="851">
        <f>+F14</f>
        <v>3.5</v>
      </c>
      <c r="H127" s="851"/>
      <c r="I127" s="854">
        <f>G127-E127</f>
        <v>2.84</v>
      </c>
      <c r="J127" s="854"/>
      <c r="K127" s="927">
        <f>IF(K14="","",VLOOKUP(B127,$B$14:$Z$18,10,FALSE))</f>
        <v>18</v>
      </c>
      <c r="L127" s="927"/>
      <c r="M127" s="927"/>
      <c r="N127" s="870">
        <f>IF(N14="","",+VLOOKUP(B127,$B$14:$W$18,13,FALSE))</f>
        <v>0</v>
      </c>
      <c r="O127" s="870"/>
      <c r="P127" s="1035">
        <f>N127*I127</f>
        <v>0</v>
      </c>
      <c r="Q127" s="1035"/>
      <c r="R127" s="927">
        <f>IF(P14="","",+VLOOKUP(B127,$B$14:$W$18,15,FALSE))</f>
        <v>21</v>
      </c>
      <c r="S127" s="927"/>
      <c r="T127" s="927"/>
      <c r="U127" s="1216">
        <f>IF(U14="","",+VLOOKUP(B127,$B$14:$W$18,20,FALSE))</f>
        <v>9500</v>
      </c>
      <c r="V127" s="1216"/>
      <c r="W127" s="1216"/>
      <c r="X127" s="933"/>
      <c r="Y127" s="933"/>
      <c r="Z127" s="934"/>
      <c r="AA127" s="77"/>
      <c r="AD127" s="847">
        <f t="shared" si="14"/>
        <v>0.36649999999999999</v>
      </c>
      <c r="AE127" s="847"/>
      <c r="AF127" s="847"/>
      <c r="AG127" s="847">
        <f>+ROUND(TAN(AD127)*I127,4)</f>
        <v>1.0901000000000001</v>
      </c>
      <c r="AH127" s="847"/>
      <c r="AI127" s="847"/>
      <c r="AK127" s="774" t="s">
        <v>880</v>
      </c>
    </row>
    <row r="128" spans="1:54" ht="17.25" customHeight="1">
      <c r="A128" s="6"/>
      <c r="B128" s="922" t="str">
        <f t="shared" ref="B128:B129" si="15">+B15</f>
        <v>퇴적층</v>
      </c>
      <c r="C128" s="923"/>
      <c r="D128" s="923"/>
      <c r="E128" s="925">
        <f>+D15</f>
        <v>3.5</v>
      </c>
      <c r="F128" s="925"/>
      <c r="G128" s="851">
        <f>+F15</f>
        <v>6.7</v>
      </c>
      <c r="H128" s="851"/>
      <c r="I128" s="854">
        <f>G128-E128</f>
        <v>3.2</v>
      </c>
      <c r="J128" s="854"/>
      <c r="K128" s="927">
        <f>IF(K15="","",VLOOKUP(B128,$B$14:$Z$18,10,FALSE))</f>
        <v>18</v>
      </c>
      <c r="L128" s="927"/>
      <c r="M128" s="927"/>
      <c r="N128" s="870">
        <f>IF(N15="","",+VLOOKUP(B128,$B$14:$W$18,13,FALSE))</f>
        <v>0</v>
      </c>
      <c r="O128" s="870"/>
      <c r="P128" s="1035">
        <f>N128*I128</f>
        <v>0</v>
      </c>
      <c r="Q128" s="1035"/>
      <c r="R128" s="927">
        <f>IF(P15="","",+VLOOKUP(B128,$B$14:$W$18,15,FALSE))</f>
        <v>23</v>
      </c>
      <c r="S128" s="927"/>
      <c r="T128" s="927"/>
      <c r="U128" s="1216">
        <f>IF(U15="","",+VLOOKUP(B128,$B$14:$W$18,20,FALSE))</f>
        <v>10000</v>
      </c>
      <c r="V128" s="1216"/>
      <c r="W128" s="1216"/>
      <c r="X128" s="933"/>
      <c r="Y128" s="933"/>
      <c r="Z128" s="934"/>
      <c r="AA128" s="77"/>
      <c r="AB128" s="156"/>
      <c r="AD128" s="847">
        <f t="shared" si="14"/>
        <v>0.40139999999999998</v>
      </c>
      <c r="AE128" s="847"/>
      <c r="AF128" s="847"/>
      <c r="AG128" s="847">
        <f>+ROUND(TAN(AD128)*I128,5)</f>
        <v>1.35822</v>
      </c>
      <c r="AH128" s="847"/>
      <c r="AI128" s="847"/>
    </row>
    <row r="129" spans="1:55" ht="17.25" customHeight="1">
      <c r="A129" s="6"/>
      <c r="B129" s="922" t="str">
        <f t="shared" si="15"/>
        <v>풍화암</v>
      </c>
      <c r="C129" s="923"/>
      <c r="D129" s="923"/>
      <c r="E129" s="925">
        <f>+D16</f>
        <v>6.7</v>
      </c>
      <c r="F129" s="925"/>
      <c r="G129" s="851">
        <v>7.7</v>
      </c>
      <c r="H129" s="851"/>
      <c r="I129" s="854">
        <f>G129-E129</f>
        <v>1</v>
      </c>
      <c r="J129" s="854"/>
      <c r="K129" s="927">
        <f>IF(K16="","",VLOOKUP(B129,$B$14:$Z$18,10,FALSE))</f>
        <v>20</v>
      </c>
      <c r="L129" s="927"/>
      <c r="M129" s="927"/>
      <c r="N129" s="870">
        <f>IF(N16="","",+VLOOKUP(B129,$B$14:$W$18,13,FALSE))</f>
        <v>20</v>
      </c>
      <c r="O129" s="870"/>
      <c r="P129" s="1035">
        <f>N129*I129</f>
        <v>20</v>
      </c>
      <c r="Q129" s="1035"/>
      <c r="R129" s="927">
        <f>IF(P16="","",+VLOOKUP(B129,$B$14:$W$18,15,FALSE))</f>
        <v>30</v>
      </c>
      <c r="S129" s="927"/>
      <c r="T129" s="927"/>
      <c r="U129" s="1216">
        <f>IF(U16="","",+VLOOKUP(B129,$B$14:$W$18,20,FALSE))</f>
        <v>700000.00000000012</v>
      </c>
      <c r="V129" s="1216"/>
      <c r="W129" s="1216"/>
      <c r="X129" s="933"/>
      <c r="Y129" s="933"/>
      <c r="Z129" s="934"/>
      <c r="AA129" s="77"/>
      <c r="AB129" s="9"/>
      <c r="AC129" s="2"/>
      <c r="AD129" s="847">
        <f t="shared" si="14"/>
        <v>0.52359999999999995</v>
      </c>
      <c r="AE129" s="847"/>
      <c r="AF129" s="847"/>
      <c r="AG129" s="847">
        <f>+ROUND(TAN(AD129)*I129,5)</f>
        <v>0.57735000000000003</v>
      </c>
      <c r="AH129" s="847"/>
      <c r="AI129" s="847"/>
    </row>
    <row r="130" spans="1:55" ht="17.25" customHeight="1">
      <c r="A130" s="6"/>
      <c r="B130" s="922"/>
      <c r="C130" s="923"/>
      <c r="D130" s="923"/>
      <c r="E130" s="925"/>
      <c r="F130" s="925"/>
      <c r="G130" s="851"/>
      <c r="H130" s="851"/>
      <c r="I130" s="854"/>
      <c r="J130" s="854"/>
      <c r="K130" s="927"/>
      <c r="L130" s="927"/>
      <c r="M130" s="927"/>
      <c r="N130" s="870"/>
      <c r="O130" s="870"/>
      <c r="P130" s="1035"/>
      <c r="Q130" s="1035"/>
      <c r="R130" s="927"/>
      <c r="S130" s="927"/>
      <c r="T130" s="927"/>
      <c r="U130" s="1216"/>
      <c r="V130" s="1216"/>
      <c r="W130" s="1216"/>
      <c r="X130" s="933"/>
      <c r="Y130" s="933"/>
      <c r="Z130" s="934"/>
      <c r="AA130" s="77"/>
      <c r="AB130" s="9"/>
      <c r="AC130" s="2"/>
      <c r="AD130" s="847">
        <f t="shared" si="14"/>
        <v>0</v>
      </c>
      <c r="AE130" s="847"/>
      <c r="AF130" s="847"/>
      <c r="AG130" s="847">
        <f>+ROUND(TAN(AD130)*I130,4)</f>
        <v>0</v>
      </c>
      <c r="AH130" s="847"/>
      <c r="AI130" s="847"/>
      <c r="AV130" s="5"/>
      <c r="AW130" s="5"/>
      <c r="AX130" s="3"/>
      <c r="AY130" s="3"/>
    </row>
    <row r="131" spans="1:55" ht="18" customHeight="1">
      <c r="A131" s="6"/>
      <c r="B131" s="922"/>
      <c r="C131" s="923"/>
      <c r="D131" s="923"/>
      <c r="E131" s="1040"/>
      <c r="F131" s="1040"/>
      <c r="G131" s="856"/>
      <c r="H131" s="856"/>
      <c r="I131" s="855"/>
      <c r="J131" s="855"/>
      <c r="K131" s="927"/>
      <c r="L131" s="927"/>
      <c r="M131" s="927"/>
      <c r="N131" s="870"/>
      <c r="O131" s="870"/>
      <c r="P131" s="1035"/>
      <c r="Q131" s="1035"/>
      <c r="R131" s="927"/>
      <c r="S131" s="927"/>
      <c r="T131" s="927"/>
      <c r="U131" s="1216"/>
      <c r="V131" s="1216"/>
      <c r="W131" s="1216"/>
      <c r="X131" s="933"/>
      <c r="Y131" s="933"/>
      <c r="Z131" s="934"/>
      <c r="AA131" s="77"/>
      <c r="AB131" s="9"/>
      <c r="AC131" s="2"/>
      <c r="AD131" s="847">
        <f t="shared" si="14"/>
        <v>0</v>
      </c>
      <c r="AE131" s="847"/>
      <c r="AF131" s="847"/>
      <c r="AG131" s="847">
        <f>+ROUND(TAN(AD131)*I131,4)</f>
        <v>0</v>
      </c>
      <c r="AH131" s="847"/>
      <c r="AI131" s="847"/>
      <c r="AV131" s="5"/>
      <c r="AW131" s="5"/>
      <c r="AX131" s="3"/>
      <c r="AY131" s="3"/>
    </row>
    <row r="132" spans="1:55" ht="17.25" customHeight="1">
      <c r="A132" s="6"/>
      <c r="B132" s="1183" t="s">
        <v>77</v>
      </c>
      <c r="C132" s="858"/>
      <c r="D132" s="858"/>
      <c r="E132" s="858"/>
      <c r="F132" s="858"/>
      <c r="G132" s="858"/>
      <c r="H132" s="858"/>
      <c r="I132" s="857">
        <f>ROUND(SUM(I126:J131),2)</f>
        <v>7.04</v>
      </c>
      <c r="J132" s="857"/>
      <c r="K132" s="1226"/>
      <c r="L132" s="1226"/>
      <c r="M132" s="1226"/>
      <c r="N132" s="1299"/>
      <c r="O132" s="1299"/>
      <c r="P132" s="1300">
        <f>SUM(P126:Q131)</f>
        <v>20</v>
      </c>
      <c r="Q132" s="1301"/>
      <c r="R132" s="1302"/>
      <c r="S132" s="1302"/>
      <c r="T132" s="1302"/>
      <c r="U132" s="1270"/>
      <c r="V132" s="1270"/>
      <c r="W132" s="1270"/>
      <c r="X132" s="1271"/>
      <c r="Y132" s="1271"/>
      <c r="Z132" s="1272"/>
      <c r="AA132" s="77"/>
      <c r="AC132" s="2"/>
      <c r="AD132" s="1297" t="s">
        <v>522</v>
      </c>
      <c r="AE132" s="1298"/>
      <c r="AF132" s="1298"/>
      <c r="AG132" s="847">
        <f>SUM(AG126:AG131)</f>
        <v>3.0256699999999999</v>
      </c>
      <c r="AH132" s="847"/>
      <c r="AI132" s="847"/>
      <c r="AV132" s="5"/>
      <c r="AW132" s="5"/>
      <c r="AX132" s="3"/>
      <c r="AY132" s="3"/>
    </row>
    <row r="133" spans="1:55" ht="17.25" customHeight="1">
      <c r="A133" s="6"/>
      <c r="B133" s="147"/>
      <c r="C133" s="147"/>
      <c r="D133" s="147"/>
      <c r="E133" s="147"/>
      <c r="F133" s="147"/>
      <c r="G133" s="147"/>
      <c r="H133" s="148"/>
      <c r="I133" s="148"/>
      <c r="J133" s="148"/>
      <c r="K133" s="77"/>
      <c r="L133" s="77"/>
      <c r="M133" s="77"/>
      <c r="N133" s="74"/>
      <c r="O133" s="74"/>
      <c r="P133" s="607"/>
      <c r="Q133" s="607"/>
      <c r="R133" s="77"/>
      <c r="S133" s="77"/>
      <c r="T133" s="589"/>
      <c r="U133" s="589"/>
      <c r="V133" s="589"/>
      <c r="W133" s="155"/>
      <c r="X133" s="155"/>
      <c r="Y133" s="155"/>
      <c r="Z133" s="155"/>
      <c r="AA133" s="155"/>
      <c r="AD133" s="847" t="s">
        <v>81</v>
      </c>
      <c r="AE133" s="847"/>
      <c r="AF133" s="847"/>
      <c r="AG133" s="847">
        <f>ROUND(+AG132/I132,5)</f>
        <v>0.42978</v>
      </c>
      <c r="AH133" s="847"/>
      <c r="AI133" s="847"/>
      <c r="AV133" s="5"/>
      <c r="AW133" s="5"/>
      <c r="AX133" s="3"/>
      <c r="AY133" s="3"/>
    </row>
    <row r="134" spans="1:55" ht="17.25" customHeight="1">
      <c r="A134" s="6"/>
      <c r="C134" s="157"/>
      <c r="D134" s="158"/>
      <c r="E134" s="158"/>
      <c r="F134" s="157"/>
      <c r="G134" s="158"/>
      <c r="H134" s="73" t="s">
        <v>176</v>
      </c>
      <c r="J134" s="76"/>
      <c r="L134" s="76"/>
      <c r="M134" s="76"/>
      <c r="N134" s="74" t="s">
        <v>89</v>
      </c>
      <c r="O134" s="77"/>
      <c r="P134" s="73" t="str">
        <f>P132&amp;" / ("&amp;I132&amp;")"</f>
        <v>20 / (7.04)</v>
      </c>
      <c r="Q134" s="77"/>
      <c r="R134" s="77"/>
      <c r="S134" s="77"/>
      <c r="T134" s="119" t="s">
        <v>90</v>
      </c>
      <c r="U134" s="1268">
        <f>+ROUND($P$132/($I$132),2)</f>
        <v>2.84</v>
      </c>
      <c r="V134" s="1268"/>
      <c r="W134" s="1268"/>
      <c r="X134" s="77"/>
      <c r="Y134" s="77"/>
      <c r="Z134" s="85"/>
      <c r="AA134" s="85"/>
      <c r="AD134" s="1265" t="s">
        <v>174</v>
      </c>
      <c r="AE134" s="1266"/>
      <c r="AF134" s="1267"/>
      <c r="AG134" s="1294">
        <f>+ROUND(ATAN(AG133),3)</f>
        <v>0.40600000000000003</v>
      </c>
      <c r="AH134" s="1295"/>
      <c r="AI134" s="1296"/>
      <c r="AV134" s="5"/>
      <c r="AW134" s="5"/>
      <c r="AX134" s="3"/>
      <c r="AY134" s="3"/>
    </row>
    <row r="135" spans="1:55" ht="18" customHeight="1">
      <c r="A135" s="6"/>
      <c r="C135" s="157"/>
      <c r="D135" s="158"/>
      <c r="E135" s="158"/>
      <c r="F135" s="157"/>
      <c r="G135" s="158"/>
      <c r="H135" s="73" t="s">
        <v>94</v>
      </c>
      <c r="I135" s="74"/>
      <c r="J135" s="76"/>
      <c r="K135" s="161"/>
      <c r="L135" s="162"/>
      <c r="M135" s="162"/>
      <c r="N135" s="163"/>
      <c r="O135" s="163"/>
      <c r="P135" s="163"/>
      <c r="Q135" s="77"/>
      <c r="R135" s="77"/>
      <c r="S135" s="77"/>
      <c r="T135" s="119" t="s">
        <v>90</v>
      </c>
      <c r="U135" s="1268">
        <f>+AG135</f>
        <v>23.26</v>
      </c>
      <c r="V135" s="1268"/>
      <c r="W135" s="1268"/>
      <c r="X135" s="163" t="s">
        <v>95</v>
      </c>
      <c r="Y135" s="163"/>
      <c r="AA135" s="163"/>
      <c r="AD135" s="1269" t="s">
        <v>175</v>
      </c>
      <c r="AE135" s="1269"/>
      <c r="AF135" s="1269"/>
      <c r="AG135" s="1269">
        <f>ROUND(DEGREES(AG134),2)</f>
        <v>23.26</v>
      </c>
      <c r="AH135" s="1269"/>
      <c r="AI135" s="1269"/>
      <c r="AV135" s="5"/>
      <c r="AW135" s="5"/>
      <c r="AX135" s="3"/>
      <c r="AY135" s="3"/>
    </row>
    <row r="136" spans="1:55" ht="18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162"/>
      <c r="M136" s="162"/>
      <c r="N136" s="163"/>
      <c r="O136" s="163"/>
      <c r="P136" s="163"/>
      <c r="Q136" s="77"/>
      <c r="R136" s="77"/>
      <c r="S136" s="77"/>
      <c r="T136" s="119"/>
      <c r="U136" s="168"/>
      <c r="V136" s="168"/>
      <c r="W136" s="168"/>
      <c r="X136" s="163"/>
      <c r="Y136" s="77"/>
      <c r="Z136" s="85"/>
      <c r="AA136" s="85"/>
      <c r="AB136" s="62"/>
      <c r="AT136" s="5"/>
      <c r="AV136" s="5"/>
      <c r="AW136" s="5"/>
      <c r="AX136" s="3"/>
      <c r="AY136" s="3"/>
    </row>
    <row r="137" spans="1:55" ht="18" customHeight="1">
      <c r="A137" s="6"/>
      <c r="B137" s="608" t="s">
        <v>587</v>
      </c>
      <c r="C137" s="461" t="s">
        <v>588</v>
      </c>
      <c r="D137" s="181"/>
      <c r="E137" s="181"/>
      <c r="F137" s="181"/>
      <c r="G137" s="181"/>
      <c r="H137" s="191"/>
      <c r="I137" s="191"/>
      <c r="J137" s="191"/>
      <c r="K137" s="77"/>
      <c r="L137" s="77"/>
      <c r="M137" s="77"/>
      <c r="N137" s="82"/>
      <c r="O137" s="82"/>
      <c r="P137" s="192"/>
      <c r="Q137" s="192"/>
      <c r="R137" s="77"/>
      <c r="S137" s="77"/>
      <c r="T137" s="77"/>
      <c r="U137" s="77"/>
      <c r="V137" s="77"/>
      <c r="W137" s="193"/>
      <c r="X137" s="193"/>
      <c r="Y137" s="193"/>
      <c r="Z137" s="77"/>
      <c r="AA137" s="77"/>
      <c r="AB137" s="62"/>
      <c r="AC137" s="9"/>
      <c r="AD137" s="73"/>
      <c r="AE137" s="76"/>
      <c r="AF137" s="6"/>
      <c r="AG137" s="6"/>
      <c r="AH137" s="76"/>
      <c r="AI137" s="74"/>
      <c r="AJ137" s="1068"/>
      <c r="AK137" s="1068"/>
      <c r="AL137" s="76"/>
      <c r="AM137" s="119"/>
      <c r="AN137" s="1280"/>
      <c r="AO137" s="1280"/>
      <c r="AP137" s="1280"/>
      <c r="AQ137" s="77"/>
      <c r="AR137" s="77"/>
      <c r="AS137" s="77"/>
      <c r="AT137" s="77"/>
      <c r="AV137" s="5"/>
      <c r="AW137" s="5"/>
      <c r="AX137" s="3"/>
      <c r="AY137" s="3"/>
    </row>
    <row r="138" spans="1:55" ht="18" customHeight="1">
      <c r="A138" s="6"/>
      <c r="B138" s="76"/>
      <c r="C138" s="73" t="s">
        <v>856</v>
      </c>
      <c r="D138" s="6"/>
      <c r="E138" s="6"/>
      <c r="F138" s="76"/>
      <c r="G138" s="1037">
        <f>+N5</f>
        <v>0.16</v>
      </c>
      <c r="H138" s="1037"/>
      <c r="I138" s="74"/>
      <c r="J138" s="76"/>
      <c r="K138" s="161"/>
      <c r="L138" s="76"/>
      <c r="M138" s="76"/>
      <c r="N138" s="77" t="s">
        <v>857</v>
      </c>
      <c r="O138" s="77"/>
      <c r="P138" s="77"/>
      <c r="Q138" s="77"/>
      <c r="R138" s="77"/>
      <c r="S138" s="1068" t="str">
        <f>IF(AG39=AG40,"",AG44)</f>
        <v/>
      </c>
      <c r="T138" s="1068"/>
      <c r="U138" s="77"/>
      <c r="V138" s="77"/>
      <c r="W138" s="77"/>
      <c r="X138" s="119"/>
      <c r="Y138" s="129"/>
      <c r="Z138" s="129"/>
      <c r="AA138" s="129"/>
      <c r="AB138" s="62"/>
      <c r="AC138" s="2"/>
      <c r="AT138" s="5"/>
      <c r="AV138" s="5"/>
      <c r="AW138" s="5"/>
      <c r="AX138" s="3"/>
      <c r="AY138" s="3"/>
      <c r="BB138" s="85"/>
      <c r="BC138" s="85"/>
    </row>
    <row r="139" spans="1:55" ht="18" customHeight="1" thickBot="1">
      <c r="A139" s="6"/>
      <c r="B139" s="609"/>
      <c r="C139" s="610"/>
      <c r="D139" s="610"/>
      <c r="E139" s="610"/>
      <c r="F139" s="610"/>
      <c r="G139" s="610"/>
      <c r="H139" s="611"/>
      <c r="I139" s="610"/>
      <c r="J139" s="610"/>
      <c r="K139" s="610"/>
      <c r="L139" s="610"/>
      <c r="M139" s="610"/>
      <c r="N139" s="610"/>
      <c r="O139" s="610"/>
      <c r="P139" s="610" t="s">
        <v>855</v>
      </c>
      <c r="Q139" s="610"/>
      <c r="R139" s="610"/>
      <c r="S139" s="610"/>
      <c r="T139" s="610"/>
      <c r="U139" s="611"/>
      <c r="V139" s="610"/>
      <c r="W139" s="610"/>
      <c r="X139" s="610"/>
      <c r="Y139" s="610"/>
      <c r="Z139" s="610"/>
      <c r="AA139" s="46"/>
      <c r="AB139" s="62"/>
      <c r="AC139" s="170"/>
      <c r="AT139" s="5"/>
      <c r="AV139" s="5"/>
      <c r="AW139" s="5"/>
      <c r="AX139" s="3"/>
      <c r="AY139" s="3"/>
    </row>
    <row r="140" spans="1:55" ht="18" customHeight="1">
      <c r="A140" s="6"/>
      <c r="B140" s="609"/>
      <c r="C140" s="610"/>
      <c r="D140" s="610"/>
      <c r="E140" s="610"/>
      <c r="F140" s="612"/>
      <c r="G140" s="610"/>
      <c r="H140" s="611"/>
      <c r="I140" s="610"/>
      <c r="J140" s="610"/>
      <c r="K140" s="610"/>
      <c r="L140" s="610"/>
      <c r="M140" s="610"/>
      <c r="N140" s="612"/>
      <c r="O140" s="610"/>
      <c r="P140" s="610"/>
      <c r="Q140" s="610"/>
      <c r="R140" s="610"/>
      <c r="S140" s="610"/>
      <c r="T140" s="610"/>
      <c r="U140" s="611"/>
      <c r="V140" s="612"/>
      <c r="W140" s="610"/>
      <c r="X140" s="610"/>
      <c r="Y140" s="610"/>
      <c r="Z140" s="610"/>
      <c r="AA140" s="46"/>
      <c r="AB140" s="62"/>
      <c r="AC140" s="170"/>
      <c r="AU140" s="5"/>
      <c r="AX140" s="3"/>
      <c r="AY140" s="3"/>
    </row>
    <row r="141" spans="1:55" ht="18" customHeight="1" thickBot="1">
      <c r="A141" s="6"/>
      <c r="B141" s="609"/>
      <c r="C141" s="609"/>
      <c r="D141" s="610"/>
      <c r="E141" s="610"/>
      <c r="F141" s="613"/>
      <c r="G141" s="610"/>
      <c r="H141" s="610"/>
      <c r="I141" s="611"/>
      <c r="J141" s="610"/>
      <c r="K141" s="610"/>
      <c r="L141" s="610"/>
      <c r="M141" s="610"/>
      <c r="N141" s="613"/>
      <c r="O141" s="610"/>
      <c r="P141" s="610"/>
      <c r="Q141" s="610"/>
      <c r="R141" s="610"/>
      <c r="S141" s="610"/>
      <c r="T141" s="610"/>
      <c r="U141" s="610"/>
      <c r="V141" s="613"/>
      <c r="W141" s="610"/>
      <c r="X141" s="610"/>
      <c r="Y141" s="610"/>
      <c r="Z141" s="610"/>
      <c r="AA141" s="46"/>
      <c r="AB141" s="62"/>
      <c r="AC141" s="170"/>
      <c r="AL141" s="452"/>
      <c r="AM141" s="452"/>
      <c r="AU141" s="77"/>
      <c r="BA141" s="77"/>
    </row>
    <row r="142" spans="1:55" ht="17.25" customHeight="1" thickBot="1">
      <c r="A142" s="6"/>
      <c r="B142" s="1047" t="s">
        <v>589</v>
      </c>
      <c r="C142" s="614"/>
      <c r="D142" s="615"/>
      <c r="E142" s="615"/>
      <c r="F142" s="616"/>
      <c r="G142" s="615"/>
      <c r="H142" s="615"/>
      <c r="I142" s="1047" t="s">
        <v>590</v>
      </c>
      <c r="J142" s="615"/>
      <c r="K142" s="615"/>
      <c r="L142" s="615"/>
      <c r="M142" s="615"/>
      <c r="N142" s="616"/>
      <c r="O142" s="615"/>
      <c r="P142" s="615"/>
      <c r="Q142" s="1047" t="s">
        <v>591</v>
      </c>
      <c r="R142" s="615"/>
      <c r="S142" s="615"/>
      <c r="T142" s="615"/>
      <c r="U142" s="615"/>
      <c r="V142" s="616"/>
      <c r="W142" s="615"/>
      <c r="X142" s="615"/>
      <c r="Y142" s="615"/>
      <c r="Z142" s="615"/>
      <c r="AA142" s="46"/>
      <c r="AB142" s="62"/>
      <c r="AC142" s="170"/>
      <c r="AX142" s="3"/>
      <c r="AY142" s="3"/>
    </row>
    <row r="143" spans="1:55" ht="17.25" customHeight="1">
      <c r="A143" s="6"/>
      <c r="B143" s="1048"/>
      <c r="C143" s="610"/>
      <c r="D143" s="610"/>
      <c r="E143" s="617"/>
      <c r="F143" s="610"/>
      <c r="G143" s="618"/>
      <c r="H143" s="610"/>
      <c r="I143" s="1009"/>
      <c r="J143" s="610"/>
      <c r="K143" s="610"/>
      <c r="L143" s="610"/>
      <c r="M143" s="617"/>
      <c r="N143" s="610"/>
      <c r="O143" s="618"/>
      <c r="P143" s="610"/>
      <c r="Q143" s="848"/>
      <c r="R143" s="610"/>
      <c r="S143" s="610"/>
      <c r="T143" s="610"/>
      <c r="U143" s="617"/>
      <c r="V143" s="610"/>
      <c r="W143" s="618"/>
      <c r="X143" s="610"/>
      <c r="Y143" s="610"/>
      <c r="Z143" s="610"/>
      <c r="AA143" s="46"/>
      <c r="AB143" s="178"/>
      <c r="AC143" s="170"/>
      <c r="AX143" s="3"/>
      <c r="AY143" s="3"/>
    </row>
    <row r="144" spans="1:55" ht="17.25" customHeight="1" thickBot="1">
      <c r="A144" s="6"/>
      <c r="B144" s="620"/>
      <c r="C144" s="620"/>
      <c r="D144" s="621"/>
      <c r="E144" s="622"/>
      <c r="F144" s="623"/>
      <c r="G144" s="624"/>
      <c r="H144" s="625"/>
      <c r="I144" s="626"/>
      <c r="J144" s="610"/>
      <c r="K144" s="848" t="s">
        <v>589</v>
      </c>
      <c r="L144" s="610"/>
      <c r="M144" s="622"/>
      <c r="N144" s="623"/>
      <c r="O144" s="624"/>
      <c r="P144" s="610"/>
      <c r="Q144" s="848"/>
      <c r="R144" s="610"/>
      <c r="S144" s="610"/>
      <c r="T144" s="610"/>
      <c r="U144" s="622"/>
      <c r="V144" s="623"/>
      <c r="W144" s="624"/>
      <c r="X144" s="610"/>
      <c r="Y144" s="610"/>
      <c r="Z144" s="610"/>
      <c r="AA144" s="46"/>
      <c r="AB144" s="178"/>
      <c r="AC144" s="170"/>
    </row>
    <row r="145" spans="1:94" ht="17.25" customHeight="1">
      <c r="A145" s="6"/>
      <c r="B145" s="609"/>
      <c r="C145" s="610"/>
      <c r="D145" s="610"/>
      <c r="E145" s="610"/>
      <c r="F145" s="610"/>
      <c r="G145" s="610"/>
      <c r="H145" s="611"/>
      <c r="I145" s="610"/>
      <c r="J145" s="610"/>
      <c r="K145" s="848"/>
      <c r="L145" s="610"/>
      <c r="M145" s="610"/>
      <c r="N145" s="610"/>
      <c r="O145" s="610"/>
      <c r="P145" s="610"/>
      <c r="Q145" s="610"/>
      <c r="R145" s="610"/>
      <c r="S145" s="610"/>
      <c r="T145" s="610"/>
      <c r="U145" s="611"/>
      <c r="V145" s="610"/>
      <c r="W145" s="610"/>
      <c r="X145" s="610"/>
      <c r="Y145" s="848" t="s">
        <v>592</v>
      </c>
      <c r="Z145" s="848"/>
      <c r="AA145" s="46"/>
      <c r="AB145" s="188"/>
      <c r="AC145" s="170"/>
    </row>
    <row r="146" spans="1:94" ht="17.25" customHeight="1">
      <c r="A146" s="6"/>
      <c r="B146" s="609"/>
      <c r="C146" s="610"/>
      <c r="D146" s="610"/>
      <c r="E146" s="610"/>
      <c r="F146" s="848" t="s">
        <v>593</v>
      </c>
      <c r="G146" s="610"/>
      <c r="H146" s="611"/>
      <c r="I146" s="610"/>
      <c r="J146" s="610"/>
      <c r="K146" s="848"/>
      <c r="L146" s="610"/>
      <c r="M146" s="610"/>
      <c r="N146" s="848" t="s">
        <v>593</v>
      </c>
      <c r="O146" s="610"/>
      <c r="P146" s="610"/>
      <c r="Q146" s="610"/>
      <c r="R146" s="610"/>
      <c r="S146" s="848" t="s">
        <v>589</v>
      </c>
      <c r="T146" s="610"/>
      <c r="U146" s="611"/>
      <c r="V146" s="848" t="s">
        <v>593</v>
      </c>
      <c r="W146" s="610"/>
      <c r="X146" s="610"/>
      <c r="Y146" s="848"/>
      <c r="Z146" s="848"/>
      <c r="AA146" s="46"/>
      <c r="AB146" s="188"/>
      <c r="AC146" s="170"/>
    </row>
    <row r="147" spans="1:94" ht="17.25" customHeight="1">
      <c r="A147" s="6"/>
      <c r="B147" s="609"/>
      <c r="C147" s="610"/>
      <c r="D147" s="610"/>
      <c r="E147" s="610"/>
      <c r="F147" s="848"/>
      <c r="G147" s="610"/>
      <c r="H147" s="611"/>
      <c r="I147" s="848" t="s">
        <v>594</v>
      </c>
      <c r="J147" s="610"/>
      <c r="K147" s="610"/>
      <c r="L147" s="610"/>
      <c r="M147" s="610"/>
      <c r="N147" s="848"/>
      <c r="O147" s="610"/>
      <c r="P147" s="610"/>
      <c r="Q147" s="610"/>
      <c r="R147" s="610"/>
      <c r="S147" s="848"/>
      <c r="T147" s="610"/>
      <c r="U147" s="611"/>
      <c r="V147" s="848"/>
      <c r="W147" s="610"/>
      <c r="X147" s="610"/>
      <c r="Y147" s="848"/>
      <c r="Z147" s="848"/>
      <c r="AA147" s="46"/>
      <c r="AB147" s="2"/>
      <c r="AC147" s="170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</row>
    <row r="148" spans="1:94" ht="17.25" customHeight="1">
      <c r="A148" s="6"/>
      <c r="B148" s="609"/>
      <c r="C148" s="610"/>
      <c r="D148" s="610"/>
      <c r="E148" s="610"/>
      <c r="F148" s="610"/>
      <c r="G148" s="610"/>
      <c r="H148" s="611"/>
      <c r="I148" s="848"/>
      <c r="J148" s="610"/>
      <c r="K148" s="610"/>
      <c r="L148" s="610"/>
      <c r="M148" s="610"/>
      <c r="N148" s="610"/>
      <c r="O148" s="610"/>
      <c r="P148" s="610"/>
      <c r="Q148" s="610"/>
      <c r="R148" s="610"/>
      <c r="S148" s="848"/>
      <c r="T148" s="610"/>
      <c r="U148" s="611"/>
      <c r="V148" s="610"/>
      <c r="W148" s="610"/>
      <c r="X148" s="610"/>
      <c r="Y148" s="610"/>
      <c r="Z148" s="610"/>
      <c r="AA148" s="46"/>
      <c r="AB148" s="2"/>
      <c r="AC148" s="170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</row>
    <row r="149" spans="1:94" ht="17.25" customHeight="1">
      <c r="A149" s="6"/>
      <c r="B149" s="1049" t="s">
        <v>595</v>
      </c>
      <c r="C149" s="1050"/>
      <c r="D149" s="1050"/>
      <c r="E149" s="1050"/>
      <c r="F149" s="610"/>
      <c r="G149" s="610"/>
      <c r="H149" s="611"/>
      <c r="I149" s="610"/>
      <c r="J149" s="610"/>
      <c r="K149" s="620"/>
      <c r="L149" s="620"/>
      <c r="M149" s="620"/>
      <c r="N149" s="620"/>
      <c r="O149" s="620"/>
      <c r="P149" s="620"/>
      <c r="Q149" s="620"/>
      <c r="R149" s="610"/>
      <c r="S149" s="610"/>
      <c r="T149" s="610"/>
      <c r="U149" s="611"/>
      <c r="V149" s="610"/>
      <c r="W149" s="610"/>
      <c r="X149" s="610"/>
      <c r="Y149" s="610"/>
      <c r="Z149" s="610"/>
      <c r="AA149" s="46"/>
      <c r="AB149" s="2"/>
      <c r="AC149" s="170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</row>
    <row r="150" spans="1:94" ht="17.25" customHeight="1" thickBot="1">
      <c r="A150" s="6"/>
      <c r="B150" s="1051"/>
      <c r="C150" s="1051"/>
      <c r="D150" s="1051"/>
      <c r="E150" s="1051"/>
      <c r="F150" s="610"/>
      <c r="G150" s="610"/>
      <c r="H150" s="611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1"/>
      <c r="V150" s="610"/>
      <c r="W150" s="610"/>
      <c r="X150" s="610"/>
      <c r="Y150" s="610"/>
      <c r="Z150" s="610"/>
      <c r="AA150" s="46"/>
      <c r="AB150" s="2"/>
      <c r="AC150" s="170"/>
      <c r="BZ150" s="5"/>
      <c r="CL150" s="5"/>
      <c r="CM150" s="5"/>
      <c r="CN150" s="5"/>
    </row>
    <row r="151" spans="1:94" ht="17.25" customHeight="1">
      <c r="A151" s="6"/>
      <c r="B151" s="627"/>
      <c r="C151" s="628"/>
      <c r="D151" s="628"/>
      <c r="E151" s="628"/>
      <c r="F151" s="628"/>
      <c r="G151" s="628"/>
      <c r="H151" s="629"/>
      <c r="I151" s="628"/>
      <c r="J151" s="628"/>
      <c r="K151" s="628"/>
      <c r="L151" s="628"/>
      <c r="M151" s="628"/>
      <c r="N151" s="628"/>
      <c r="O151" s="628"/>
      <c r="P151" s="628"/>
      <c r="Q151" s="628"/>
      <c r="R151" s="628"/>
      <c r="S151" s="628"/>
      <c r="T151" s="628"/>
      <c r="U151" s="629"/>
      <c r="V151" s="628"/>
      <c r="W151" s="628"/>
      <c r="X151" s="628"/>
      <c r="Y151" s="628"/>
      <c r="Z151" s="628"/>
      <c r="AA151" s="46"/>
      <c r="AB151" s="62"/>
      <c r="AC151" s="170"/>
      <c r="BN151" s="5"/>
      <c r="BO151" s="5"/>
      <c r="BP151" s="5"/>
      <c r="BQ151" s="5"/>
      <c r="BR151" s="5"/>
      <c r="CN151" s="5"/>
      <c r="CO151" s="5"/>
    </row>
    <row r="152" spans="1:94" ht="17.25" customHeight="1">
      <c r="A152" s="6"/>
      <c r="B152" s="609"/>
      <c r="C152" s="610"/>
      <c r="D152" s="610"/>
      <c r="E152" s="610"/>
      <c r="F152" s="610"/>
      <c r="G152" s="610"/>
      <c r="H152" s="611"/>
      <c r="I152" s="610"/>
      <c r="J152" s="610"/>
      <c r="K152" s="610"/>
      <c r="L152" s="610"/>
      <c r="M152" s="610"/>
      <c r="N152" s="610"/>
      <c r="O152" s="610"/>
      <c r="P152" s="610"/>
      <c r="Q152" s="610"/>
      <c r="R152" s="610"/>
      <c r="S152" s="610"/>
      <c r="T152" s="610"/>
      <c r="U152" s="610"/>
      <c r="V152" s="610"/>
      <c r="W152" s="610"/>
      <c r="X152" s="610"/>
      <c r="Y152" s="610"/>
      <c r="Z152" s="610"/>
      <c r="AA152" s="46"/>
      <c r="AB152" s="61"/>
      <c r="AC152" s="170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CN152" s="5"/>
      <c r="CO152" s="5"/>
      <c r="CP152" s="5"/>
    </row>
    <row r="153" spans="1:94" s="5" customFormat="1" ht="7.5" customHeight="1">
      <c r="A153" s="6"/>
      <c r="B153" s="609"/>
      <c r="C153" s="610"/>
      <c r="D153" s="610"/>
      <c r="E153" s="610"/>
      <c r="F153" s="610"/>
      <c r="G153" s="610"/>
      <c r="H153" s="611"/>
      <c r="I153" s="610"/>
      <c r="J153" s="610"/>
      <c r="K153" s="610"/>
      <c r="L153" s="610"/>
      <c r="M153" s="610"/>
      <c r="N153" s="610"/>
      <c r="O153" s="610"/>
      <c r="P153" s="610"/>
      <c r="Q153" s="610"/>
      <c r="R153" s="610"/>
      <c r="S153" s="620"/>
      <c r="T153" s="620"/>
      <c r="U153" s="620"/>
      <c r="V153" s="620"/>
      <c r="W153" s="620"/>
      <c r="X153" s="620"/>
      <c r="Y153" s="620"/>
      <c r="Z153" s="610"/>
      <c r="AA153" s="46"/>
      <c r="AB153" s="61"/>
      <c r="AC153" s="170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4" s="5" customFormat="1" ht="9" customHeight="1">
      <c r="A154" s="6"/>
      <c r="B154" s="609"/>
      <c r="C154" s="610"/>
      <c r="D154" s="610"/>
      <c r="E154" s="990" t="s">
        <v>596</v>
      </c>
      <c r="F154" s="990"/>
      <c r="G154" s="990"/>
      <c r="H154" s="611"/>
      <c r="I154" s="610"/>
      <c r="J154" s="610"/>
      <c r="K154" s="610"/>
      <c r="L154" s="610"/>
      <c r="M154" s="990" t="s">
        <v>597</v>
      </c>
      <c r="N154" s="990"/>
      <c r="O154" s="990"/>
      <c r="P154" s="610"/>
      <c r="Q154" s="610"/>
      <c r="R154" s="610"/>
      <c r="S154" s="610"/>
      <c r="T154" s="610"/>
      <c r="U154" s="990" t="s">
        <v>598</v>
      </c>
      <c r="V154" s="990"/>
      <c r="W154" s="990"/>
      <c r="X154" s="610"/>
      <c r="Y154" s="610"/>
      <c r="Z154" s="610"/>
      <c r="AA154" s="46"/>
      <c r="AB154" s="61"/>
      <c r="AC154" s="170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4" s="5" customFormat="1" ht="9" customHeight="1">
      <c r="A155" s="6"/>
      <c r="B155" s="609"/>
      <c r="C155" s="610"/>
      <c r="D155" s="610"/>
      <c r="E155" s="990"/>
      <c r="F155" s="990"/>
      <c r="G155" s="990"/>
      <c r="H155" s="611"/>
      <c r="I155" s="610"/>
      <c r="J155" s="610"/>
      <c r="K155" s="610"/>
      <c r="L155" s="610"/>
      <c r="M155" s="990"/>
      <c r="N155" s="990"/>
      <c r="O155" s="990"/>
      <c r="P155" s="610"/>
      <c r="Q155" s="610"/>
      <c r="R155" s="610"/>
      <c r="S155" s="610"/>
      <c r="T155" s="610"/>
      <c r="U155" s="990"/>
      <c r="V155" s="990"/>
      <c r="W155" s="990"/>
      <c r="X155" s="610"/>
      <c r="Y155" s="610"/>
      <c r="Z155" s="610"/>
      <c r="AA155" s="46"/>
      <c r="AB155" s="61"/>
      <c r="AC155" s="170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4" s="5" customFormat="1" ht="9" customHeight="1">
      <c r="A156" s="6"/>
      <c r="B156" s="609"/>
      <c r="C156" s="610"/>
      <c r="D156" s="610"/>
      <c r="E156" s="630"/>
      <c r="F156" s="630"/>
      <c r="G156" s="630"/>
      <c r="H156" s="611"/>
      <c r="I156" s="610"/>
      <c r="J156" s="610"/>
      <c r="K156" s="610"/>
      <c r="L156" s="610"/>
      <c r="M156" s="630"/>
      <c r="N156" s="630"/>
      <c r="O156" s="630"/>
      <c r="P156" s="610"/>
      <c r="Q156" s="610"/>
      <c r="R156" s="610"/>
      <c r="S156" s="610"/>
      <c r="T156" s="610"/>
      <c r="U156" s="630"/>
      <c r="V156" s="630"/>
      <c r="W156" s="630"/>
      <c r="X156" s="610"/>
      <c r="Y156" s="610"/>
      <c r="Z156" s="610"/>
      <c r="AA156" s="46"/>
      <c r="AB156" s="46"/>
      <c r="AC156" s="42"/>
      <c r="AU156" s="3"/>
      <c r="AV156" s="3"/>
      <c r="AW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4" s="5" customFormat="1" ht="15" customHeight="1">
      <c r="A157" s="6"/>
      <c r="B157" s="609"/>
      <c r="C157" s="610" t="s">
        <v>599</v>
      </c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46"/>
      <c r="AB157" s="42"/>
      <c r="AU157" s="3"/>
      <c r="AV157" s="3"/>
      <c r="AW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4" s="5" customFormat="1" ht="15" customHeight="1">
      <c r="A158" s="6"/>
      <c r="B158" s="609"/>
      <c r="C158" s="610"/>
      <c r="D158" s="611" t="s">
        <v>600</v>
      </c>
      <c r="E158" s="611" t="s">
        <v>601</v>
      </c>
      <c r="F158" s="610" t="s">
        <v>602</v>
      </c>
      <c r="G158" s="610"/>
      <c r="H158" s="610"/>
      <c r="I158" s="610"/>
      <c r="J158" s="610"/>
      <c r="K158" s="610"/>
      <c r="L158" s="610"/>
      <c r="M158" s="610"/>
      <c r="N158" s="610"/>
      <c r="O158" s="611" t="s">
        <v>601</v>
      </c>
      <c r="P158" s="862">
        <f>ABS(IF(V5&lt;N5,IF((G138-S138)&gt;V5,(K14-10)*S138,(G138-S138-V5)*K14+(K14-10)*(N5-V5)),"0"))</f>
        <v>0</v>
      </c>
      <c r="Q158" s="862"/>
      <c r="R158" s="862"/>
      <c r="S158" s="610" t="s">
        <v>603</v>
      </c>
      <c r="T158" s="610"/>
      <c r="U158" s="610"/>
      <c r="V158" s="610"/>
      <c r="W158" s="610" t="s">
        <v>604</v>
      </c>
      <c r="X158" s="610"/>
      <c r="Y158" s="610"/>
      <c r="Z158" s="610"/>
      <c r="AA158" s="46"/>
      <c r="AB158" s="42"/>
      <c r="AU158" s="3"/>
      <c r="AV158" s="3"/>
      <c r="AW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4" s="5" customFormat="1" ht="15" customHeight="1">
      <c r="A159" s="6"/>
      <c r="B159" s="609"/>
      <c r="C159" s="610"/>
      <c r="D159" s="611" t="s">
        <v>594</v>
      </c>
      <c r="E159" s="611" t="s">
        <v>601</v>
      </c>
      <c r="F159" s="611" t="s">
        <v>605</v>
      </c>
      <c r="G159" s="611" t="s">
        <v>601</v>
      </c>
      <c r="H159" s="610" t="s">
        <v>606</v>
      </c>
      <c r="I159" s="610"/>
      <c r="J159" s="610"/>
      <c r="K159" s="610"/>
      <c r="L159" s="610"/>
      <c r="M159" s="610"/>
      <c r="N159" s="610"/>
      <c r="O159" s="611" t="s">
        <v>601</v>
      </c>
      <c r="P159" s="862" t="str">
        <f>IF(V5&lt;=N5,K14-10,"0")</f>
        <v>0</v>
      </c>
      <c r="Q159" s="862"/>
      <c r="R159" s="862"/>
      <c r="S159" s="610" t="s">
        <v>607</v>
      </c>
      <c r="T159" s="610"/>
      <c r="U159" s="610"/>
      <c r="V159" s="610"/>
      <c r="W159" s="610" t="s">
        <v>608</v>
      </c>
      <c r="X159" s="610"/>
      <c r="Y159" s="610"/>
      <c r="Z159" s="610"/>
      <c r="AA159" s="46"/>
      <c r="AB159" s="42"/>
      <c r="AU159" s="3"/>
      <c r="AV159" s="3"/>
      <c r="AW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4" s="5" customFormat="1" ht="15" customHeight="1">
      <c r="A160" s="6"/>
      <c r="B160" s="609"/>
      <c r="C160" s="610" t="s">
        <v>609</v>
      </c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6"/>
      <c r="AB160" s="42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s="5" customFormat="1" ht="15" customHeight="1">
      <c r="A161" s="6"/>
      <c r="B161" s="609"/>
      <c r="C161" s="610"/>
      <c r="D161" s="611" t="s">
        <v>600</v>
      </c>
      <c r="E161" s="611" t="s">
        <v>601</v>
      </c>
      <c r="F161" s="610" t="s">
        <v>610</v>
      </c>
      <c r="G161" s="610"/>
      <c r="H161" s="610"/>
      <c r="I161" s="610"/>
      <c r="J161" s="610"/>
      <c r="K161" s="610"/>
      <c r="L161" s="610"/>
      <c r="M161" s="610"/>
      <c r="N161" s="610"/>
      <c r="O161" s="611" t="s">
        <v>601</v>
      </c>
      <c r="P161" s="862">
        <f>IF(AND(N5&lt;V5, V5&lt;N5+F5),IF(S138="",K14*N5,K14*(S138)),"0")</f>
        <v>2.88</v>
      </c>
      <c r="Q161" s="862"/>
      <c r="R161" s="862"/>
      <c r="S161" s="610" t="s">
        <v>603</v>
      </c>
      <c r="T161" s="610"/>
      <c r="U161" s="610"/>
      <c r="V161" s="610"/>
      <c r="W161" s="610" t="s">
        <v>604</v>
      </c>
      <c r="X161" s="610"/>
      <c r="Y161" s="610"/>
      <c r="Z161" s="610"/>
      <c r="AA161" s="46"/>
      <c r="AB161" s="42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s="5" customFormat="1" ht="15" customHeight="1">
      <c r="A162" s="6"/>
      <c r="B162" s="609"/>
      <c r="C162" s="610"/>
      <c r="D162" s="611" t="s">
        <v>594</v>
      </c>
      <c r="E162" s="611" t="s">
        <v>601</v>
      </c>
      <c r="F162" s="610" t="s">
        <v>611</v>
      </c>
      <c r="G162" s="610"/>
      <c r="H162" s="610"/>
      <c r="I162" s="610"/>
      <c r="J162" s="610"/>
      <c r="K162" s="610"/>
      <c r="L162" s="610"/>
      <c r="M162" s="610"/>
      <c r="N162" s="610"/>
      <c r="O162" s="611" t="s">
        <v>601</v>
      </c>
      <c r="P162" s="862">
        <f>IF(AND(N5&lt;V5, V5&lt;N5+F5),(K14*(V5-N5)+(K14-10)*(N5+F5-V5))  /  F5,"0")</f>
        <v>14.736842105263159</v>
      </c>
      <c r="Q162" s="862"/>
      <c r="R162" s="862"/>
      <c r="S162" s="610" t="s">
        <v>607</v>
      </c>
      <c r="T162" s="610"/>
      <c r="U162" s="610"/>
      <c r="V162" s="610"/>
      <c r="W162" s="610" t="s">
        <v>608</v>
      </c>
      <c r="X162" s="610"/>
      <c r="Y162" s="610"/>
      <c r="Z162" s="610"/>
      <c r="AA162" s="46"/>
      <c r="AB162" s="42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s="5" customFormat="1" ht="15" customHeight="1">
      <c r="A163" s="6"/>
      <c r="B163" s="609"/>
      <c r="C163" s="610" t="s">
        <v>612</v>
      </c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46"/>
      <c r="AB163" s="42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s="5" customFormat="1" ht="15" customHeight="1">
      <c r="A164" s="6"/>
      <c r="B164" s="609"/>
      <c r="C164" s="610"/>
      <c r="D164" s="611" t="s">
        <v>600</v>
      </c>
      <c r="E164" s="611" t="s">
        <v>601</v>
      </c>
      <c r="F164" s="610" t="s">
        <v>613</v>
      </c>
      <c r="G164" s="610"/>
      <c r="H164" s="610"/>
      <c r="I164" s="610"/>
      <c r="J164" s="610"/>
      <c r="K164" s="610"/>
      <c r="L164" s="610"/>
      <c r="M164" s="610"/>
      <c r="N164" s="610"/>
      <c r="O164" s="611" t="s">
        <v>601</v>
      </c>
      <c r="P164" s="862" t="str">
        <f>IF(V5&gt;F5+N5,IF(S138="",K14*N5,K14*(S138)),"0")</f>
        <v>0</v>
      </c>
      <c r="Q164" s="862"/>
      <c r="R164" s="862"/>
      <c r="S164" s="610" t="s">
        <v>603</v>
      </c>
      <c r="T164" s="610"/>
      <c r="U164" s="610"/>
      <c r="V164" s="610"/>
      <c r="W164" s="610" t="s">
        <v>604</v>
      </c>
      <c r="X164" s="610"/>
      <c r="Y164" s="610"/>
      <c r="Z164" s="610"/>
      <c r="AA164" s="46"/>
      <c r="AB164" s="42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 spans="1:91" s="5" customFormat="1" ht="15" customHeight="1">
      <c r="A165" s="6"/>
      <c r="B165" s="609"/>
      <c r="C165" s="610"/>
      <c r="D165" s="611" t="s">
        <v>594</v>
      </c>
      <c r="E165" s="611" t="s">
        <v>601</v>
      </c>
      <c r="F165" s="610" t="s">
        <v>614</v>
      </c>
      <c r="G165" s="610"/>
      <c r="H165" s="610"/>
      <c r="I165" s="610"/>
      <c r="J165" s="610"/>
      <c r="K165" s="610"/>
      <c r="L165" s="610"/>
      <c r="M165" s="610"/>
      <c r="N165" s="610"/>
      <c r="O165" s="611" t="s">
        <v>601</v>
      </c>
      <c r="P165" s="862" t="str">
        <f>IF(V5&gt;F5+N5,K14,"0")</f>
        <v>0</v>
      </c>
      <c r="Q165" s="862"/>
      <c r="R165" s="862"/>
      <c r="S165" s="610" t="s">
        <v>607</v>
      </c>
      <c r="T165" s="610"/>
      <c r="U165" s="610"/>
      <c r="V165" s="610"/>
      <c r="W165" s="610" t="s">
        <v>608</v>
      </c>
      <c r="X165" s="610"/>
      <c r="Y165" s="610"/>
      <c r="Z165" s="610"/>
      <c r="AA165" s="46"/>
      <c r="AB165" s="42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s="5" customFormat="1" ht="15" customHeight="1">
      <c r="A166" s="6"/>
      <c r="B166" s="609"/>
      <c r="C166" s="610"/>
      <c r="D166" s="611"/>
      <c r="E166" s="611"/>
      <c r="F166" s="610"/>
      <c r="G166" s="610"/>
      <c r="H166" s="610"/>
      <c r="I166" s="610"/>
      <c r="J166" s="610"/>
      <c r="K166" s="610"/>
      <c r="L166" s="610"/>
      <c r="M166" s="610"/>
      <c r="N166" s="610"/>
      <c r="O166" s="611"/>
      <c r="P166" s="631"/>
      <c r="Q166" s="631"/>
      <c r="R166" s="631"/>
      <c r="S166" s="610"/>
      <c r="T166" s="610"/>
      <c r="U166" s="610"/>
      <c r="V166" s="610"/>
      <c r="W166" s="610"/>
      <c r="X166" s="610"/>
      <c r="Y166" s="610"/>
      <c r="Z166" s="610"/>
      <c r="AA166" s="46"/>
      <c r="AB166" s="42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s="5" customFormat="1" ht="15" customHeight="1">
      <c r="A167" s="6"/>
      <c r="B167" s="76"/>
      <c r="C167" s="633" t="s">
        <v>618</v>
      </c>
      <c r="D167" s="630" t="s">
        <v>616</v>
      </c>
      <c r="E167" s="630" t="s">
        <v>601</v>
      </c>
      <c r="F167" s="1036">
        <f>ROUND(+P158+P161+P164,2)</f>
        <v>2.88</v>
      </c>
      <c r="G167" s="1036"/>
      <c r="H167" s="1036"/>
      <c r="I167" s="74"/>
      <c r="J167" s="6"/>
      <c r="K167" s="632"/>
      <c r="L167" s="6"/>
      <c r="M167" s="630" t="s">
        <v>617</v>
      </c>
      <c r="N167" s="630" t="s">
        <v>601</v>
      </c>
      <c r="O167" s="1036">
        <f>+P159+P162+P165</f>
        <v>14.736842105263159</v>
      </c>
      <c r="P167" s="1037"/>
      <c r="Q167" s="1037"/>
      <c r="R167" s="77"/>
      <c r="S167" s="77"/>
      <c r="T167" s="77"/>
      <c r="U167" s="77"/>
      <c r="V167" s="77"/>
      <c r="W167" s="77"/>
      <c r="X167" s="119"/>
      <c r="Y167" s="129"/>
      <c r="Z167" s="129"/>
      <c r="AA167" s="129"/>
      <c r="AB167" s="42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s="5" customFormat="1" ht="9" customHeight="1">
      <c r="A168" s="6"/>
      <c r="B168" s="76"/>
      <c r="C168" s="76"/>
      <c r="D168" s="6"/>
      <c r="E168" s="6"/>
      <c r="F168" s="76"/>
      <c r="G168" s="6"/>
      <c r="H168" s="6"/>
      <c r="I168" s="74"/>
      <c r="J168" s="76"/>
      <c r="K168" s="161"/>
      <c r="L168" s="76"/>
      <c r="M168" s="76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119"/>
      <c r="Y168" s="129"/>
      <c r="Z168" s="129"/>
      <c r="AA168" s="129"/>
      <c r="AB168" s="42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 spans="1:91" s="5" customFormat="1" ht="21" customHeight="1">
      <c r="A169" s="6"/>
      <c r="B169" s="76"/>
      <c r="C169" s="76"/>
      <c r="D169" s="6"/>
      <c r="E169" s="6"/>
      <c r="F169" s="76"/>
      <c r="G169" s="6"/>
      <c r="H169" s="6"/>
      <c r="I169" s="74"/>
      <c r="J169" s="76"/>
      <c r="K169" s="161"/>
      <c r="L169" s="76"/>
      <c r="M169" s="76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119"/>
      <c r="Y169" s="129"/>
      <c r="Z169" s="129"/>
      <c r="AA169" s="129"/>
      <c r="AB169" s="42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s="5" customFormat="1" ht="12.75" customHeight="1">
      <c r="A170" s="6"/>
      <c r="B170" s="76"/>
      <c r="C170" s="76"/>
      <c r="D170" s="6"/>
      <c r="E170" s="6"/>
      <c r="F170" s="76"/>
      <c r="G170" s="6"/>
      <c r="H170" s="6"/>
      <c r="I170" s="74"/>
      <c r="J170" s="76"/>
      <c r="K170" s="161"/>
      <c r="L170" s="76"/>
      <c r="M170" s="76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119"/>
      <c r="Y170" s="129"/>
      <c r="Z170" s="129"/>
      <c r="AA170" s="129"/>
      <c r="AB170" s="42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 spans="1:91" s="5" customFormat="1" ht="15.75" customHeight="1">
      <c r="A171" s="6"/>
      <c r="B171" s="76"/>
      <c r="C171" s="76"/>
      <c r="D171" s="6"/>
      <c r="E171" s="6"/>
      <c r="F171" s="76"/>
      <c r="G171" s="6"/>
      <c r="H171" s="6"/>
      <c r="I171" s="74"/>
      <c r="J171" s="76"/>
      <c r="K171" s="161"/>
      <c r="L171" s="76"/>
      <c r="M171" s="76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119"/>
      <c r="Y171" s="129"/>
      <c r="Z171" s="129"/>
      <c r="AA171" s="129"/>
      <c r="AB171" s="42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s="5" customFormat="1" ht="14.25" customHeight="1">
      <c r="A172" s="6"/>
      <c r="B172" s="76"/>
      <c r="C172" s="76"/>
      <c r="D172" s="6"/>
      <c r="E172" s="6"/>
      <c r="F172" s="76"/>
      <c r="G172" s="6"/>
      <c r="H172" s="6"/>
      <c r="I172" s="74"/>
      <c r="J172" s="76"/>
      <c r="K172" s="161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119"/>
      <c r="Y172" s="129"/>
      <c r="Z172" s="129"/>
      <c r="AA172" s="129"/>
      <c r="AB172" s="42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s="5" customFormat="1" ht="14.25" customHeight="1">
      <c r="A173" s="6"/>
      <c r="B173" s="76"/>
      <c r="C173" s="76"/>
      <c r="D173" s="6"/>
      <c r="E173" s="6"/>
      <c r="F173" s="76"/>
      <c r="G173" s="6"/>
      <c r="H173" s="6"/>
      <c r="I173" s="74"/>
      <c r="J173" s="76"/>
      <c r="K173" s="161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119"/>
      <c r="Y173" s="129"/>
      <c r="Z173" s="129"/>
      <c r="AA173" s="129"/>
      <c r="AB173" s="42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s="5" customFormat="1" ht="14.25" customHeight="1">
      <c r="A174" s="6"/>
      <c r="B174" s="76"/>
      <c r="C174" s="76"/>
      <c r="D174" s="6"/>
      <c r="E174" s="6"/>
      <c r="F174" s="76"/>
      <c r="G174" s="6"/>
      <c r="H174" s="6"/>
      <c r="I174" s="74"/>
      <c r="J174" s="76"/>
      <c r="K174" s="161"/>
      <c r="L174" s="76"/>
      <c r="M174" s="76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119"/>
      <c r="Y174" s="129"/>
      <c r="Z174" s="129"/>
      <c r="AA174" s="129"/>
      <c r="AB174" s="42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s="5" customFormat="1" ht="14.25" customHeight="1">
      <c r="A175" s="6"/>
      <c r="B175" s="76"/>
      <c r="C175" s="76"/>
      <c r="D175" s="6"/>
      <c r="E175" s="6"/>
      <c r="F175" s="76"/>
      <c r="G175" s="6"/>
      <c r="H175" s="6"/>
      <c r="I175" s="74"/>
      <c r="J175" s="76"/>
      <c r="K175" s="161"/>
      <c r="L175" s="76"/>
      <c r="M175" s="76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119"/>
      <c r="Y175" s="129"/>
      <c r="Z175" s="129"/>
      <c r="AA175" s="129"/>
      <c r="AB175" s="42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s="5" customFormat="1" ht="14.25" customHeight="1">
      <c r="A176" s="6"/>
      <c r="B176" s="76"/>
      <c r="C176" s="76"/>
      <c r="D176" s="6"/>
      <c r="E176" s="6"/>
      <c r="F176" s="76"/>
      <c r="G176" s="6"/>
      <c r="H176" s="6"/>
      <c r="I176" s="74"/>
      <c r="J176" s="76"/>
      <c r="K176" s="161"/>
      <c r="L176" s="76"/>
      <c r="M176" s="76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19"/>
      <c r="Y176" s="129"/>
      <c r="Z176" s="129"/>
      <c r="AA176" s="129"/>
      <c r="AB176" s="42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4" s="5" customFormat="1" ht="14.25" customHeight="1">
      <c r="A177" s="6"/>
      <c r="B177" s="76"/>
      <c r="C177" s="76"/>
      <c r="D177" s="6"/>
      <c r="E177" s="6"/>
      <c r="F177" s="76"/>
      <c r="G177" s="6"/>
      <c r="H177" s="6"/>
      <c r="I177" s="74"/>
      <c r="J177" s="76"/>
      <c r="K177" s="161"/>
      <c r="L177" s="76"/>
      <c r="M177" s="76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119"/>
      <c r="Y177" s="129"/>
      <c r="Z177" s="129"/>
      <c r="AA177" s="129"/>
      <c r="AB177" s="42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4" s="5" customFormat="1" ht="14.25" customHeight="1">
      <c r="A178" s="6"/>
      <c r="B178" s="76"/>
      <c r="C178" s="76"/>
      <c r="D178" s="6"/>
      <c r="E178" s="6"/>
      <c r="F178" s="76"/>
      <c r="G178" s="6"/>
      <c r="H178" s="6"/>
      <c r="I178" s="74"/>
      <c r="J178" s="76"/>
      <c r="K178" s="161"/>
      <c r="L178" s="76"/>
      <c r="M178" s="76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119"/>
      <c r="Y178" s="129"/>
      <c r="Z178" s="129"/>
      <c r="AA178" s="129"/>
      <c r="AB178" s="42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4" s="5" customFormat="1" ht="14.25" customHeight="1">
      <c r="A179" s="6"/>
      <c r="B179" s="76"/>
      <c r="C179" s="76"/>
      <c r="D179" s="6"/>
      <c r="E179" s="6"/>
      <c r="F179" s="76"/>
      <c r="G179" s="6"/>
      <c r="H179" s="6"/>
      <c r="I179" s="74"/>
      <c r="J179" s="76"/>
      <c r="K179" s="161"/>
      <c r="L179" s="76"/>
      <c r="M179" s="76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119"/>
      <c r="Y179" s="129"/>
      <c r="Z179" s="129"/>
      <c r="AA179" s="129"/>
      <c r="AB179" s="42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4" s="5" customFormat="1" ht="14.25" customHeight="1">
      <c r="A180" s="6"/>
      <c r="B180" s="76"/>
      <c r="C180" s="76"/>
      <c r="D180" s="6"/>
      <c r="E180" s="6"/>
      <c r="F180" s="76"/>
      <c r="G180" s="6"/>
      <c r="H180" s="6"/>
      <c r="I180" s="74"/>
      <c r="J180" s="76"/>
      <c r="K180" s="161"/>
      <c r="L180" s="76"/>
      <c r="M180" s="76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119"/>
      <c r="Y180" s="129"/>
      <c r="Z180" s="129"/>
      <c r="AA180" s="129"/>
      <c r="AB180" s="42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4" s="5" customFormat="1" ht="7.5" customHeight="1">
      <c r="A181" s="6"/>
      <c r="B181" s="76"/>
      <c r="C181" s="76"/>
      <c r="D181" s="6"/>
      <c r="E181" s="6"/>
      <c r="F181" s="76"/>
      <c r="G181" s="6"/>
      <c r="H181" s="6"/>
      <c r="I181" s="74"/>
      <c r="J181" s="76"/>
      <c r="K181" s="161"/>
      <c r="L181" s="76"/>
      <c r="M181" s="76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119"/>
      <c r="Y181" s="129"/>
      <c r="Z181" s="129"/>
      <c r="AA181" s="129"/>
      <c r="AB181" s="42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4" s="5" customFormat="1" ht="17.25" customHeight="1">
      <c r="A182" s="6"/>
      <c r="B182" s="76"/>
      <c r="C182" s="76"/>
      <c r="D182" s="6"/>
      <c r="E182" s="6"/>
      <c r="F182" s="76"/>
      <c r="G182" s="6"/>
      <c r="H182" s="6"/>
      <c r="I182" s="74"/>
      <c r="J182" s="76"/>
      <c r="K182" s="161"/>
      <c r="L182" s="76"/>
      <c r="M182" s="76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119"/>
      <c r="Y182" s="129"/>
      <c r="Z182" s="129"/>
      <c r="AA182" s="129"/>
      <c r="AB182" s="42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4" s="5" customFormat="1" ht="17.25" customHeight="1">
      <c r="A183" s="6"/>
      <c r="B183" s="76"/>
      <c r="C183" s="76"/>
      <c r="D183" s="6"/>
      <c r="E183" s="6"/>
      <c r="F183" s="76"/>
      <c r="G183" s="6"/>
      <c r="H183" s="6"/>
      <c r="I183" s="74"/>
      <c r="J183" s="76"/>
      <c r="K183" s="161"/>
      <c r="L183" s="76"/>
      <c r="M183" s="76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119"/>
      <c r="Y183" s="129"/>
      <c r="Z183" s="129"/>
      <c r="AA183" s="129"/>
      <c r="AB183" s="42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4" s="5" customFormat="1" ht="17.25" customHeight="1">
      <c r="A184" s="6"/>
      <c r="B184" s="76"/>
      <c r="C184" s="76"/>
      <c r="D184" s="6"/>
      <c r="E184" s="6"/>
      <c r="F184" s="76"/>
      <c r="G184" s="6"/>
      <c r="H184" s="6"/>
      <c r="I184" s="74"/>
      <c r="J184" s="76"/>
      <c r="K184" s="161"/>
      <c r="L184" s="76"/>
      <c r="M184" s="76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119"/>
      <c r="Y184" s="129"/>
      <c r="Z184" s="129"/>
      <c r="AA184" s="129"/>
      <c r="AB184" s="42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</row>
    <row r="185" spans="1:94" s="5" customFormat="1" ht="17.25" customHeight="1">
      <c r="A185" s="6"/>
      <c r="B185" s="76"/>
      <c r="C185" s="76"/>
      <c r="D185" s="6"/>
      <c r="E185" s="6"/>
      <c r="F185" s="76"/>
      <c r="G185" s="6"/>
      <c r="H185" s="6"/>
      <c r="I185" s="74"/>
      <c r="J185" s="76"/>
      <c r="K185" s="161"/>
      <c r="L185" s="76"/>
      <c r="M185" s="76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119"/>
      <c r="Y185" s="129"/>
      <c r="Z185" s="129"/>
      <c r="AA185" s="129"/>
      <c r="AB185" s="46"/>
      <c r="AC185" s="42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</row>
    <row r="186" spans="1:94" ht="17.25" customHeight="1">
      <c r="A186" s="6"/>
      <c r="B186" s="76"/>
      <c r="C186" s="76"/>
      <c r="D186" s="6"/>
      <c r="E186" s="6"/>
      <c r="F186" s="76"/>
      <c r="G186" s="6"/>
      <c r="H186" s="6"/>
      <c r="I186" s="74"/>
      <c r="J186" s="76"/>
      <c r="K186" s="161"/>
      <c r="L186" s="76"/>
      <c r="M186" s="76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119"/>
      <c r="Y186" s="129"/>
      <c r="Z186" s="129"/>
      <c r="AA186" s="129"/>
      <c r="AB186" s="46"/>
      <c r="AC186" s="42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spans="1:94" ht="9.75" customHeight="1">
      <c r="A187" s="6"/>
      <c r="B187" s="76"/>
      <c r="C187" s="76"/>
      <c r="D187" s="6"/>
      <c r="E187" s="6"/>
      <c r="F187" s="76"/>
      <c r="G187" s="6"/>
      <c r="H187" s="6"/>
      <c r="I187" s="74"/>
      <c r="J187" s="76"/>
      <c r="K187" s="161"/>
      <c r="L187" s="76"/>
      <c r="M187" s="76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119"/>
      <c r="Y187" s="129"/>
      <c r="Z187" s="129"/>
      <c r="AA187" s="129"/>
      <c r="AB187" s="46"/>
      <c r="AC187" s="42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spans="1:94" ht="29.25" customHeight="1">
      <c r="A188" s="6"/>
      <c r="B188" s="76"/>
      <c r="C188" s="76"/>
      <c r="D188" s="6"/>
      <c r="E188" s="6"/>
      <c r="F188" s="76"/>
      <c r="G188" s="6"/>
      <c r="H188" s="6"/>
      <c r="I188" s="74"/>
      <c r="J188" s="76"/>
      <c r="K188" s="161"/>
      <c r="L188" s="76"/>
      <c r="M188" s="76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119"/>
      <c r="Y188" s="129"/>
      <c r="Z188" s="129"/>
      <c r="AA188" s="129"/>
      <c r="AB188" s="62"/>
      <c r="AC188" s="42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spans="1:94" ht="19.5" customHeight="1">
      <c r="A189" s="6"/>
      <c r="B189" s="194" t="s">
        <v>192</v>
      </c>
      <c r="C189" s="157"/>
      <c r="D189" s="158"/>
      <c r="E189" s="158"/>
      <c r="F189" s="157"/>
      <c r="G189" s="158"/>
      <c r="H189" s="158"/>
      <c r="I189" s="74"/>
      <c r="J189" s="76"/>
      <c r="K189" s="161"/>
      <c r="L189" s="162"/>
      <c r="M189" s="162"/>
      <c r="N189" s="163"/>
      <c r="O189" s="163"/>
      <c r="P189" s="163"/>
      <c r="Q189" s="163"/>
      <c r="R189" s="163"/>
      <c r="S189" s="77"/>
      <c r="T189" s="77"/>
      <c r="U189" s="77"/>
      <c r="V189" s="77"/>
      <c r="W189" s="77"/>
      <c r="X189" s="119"/>
      <c r="Y189" s="168"/>
      <c r="Z189" s="168"/>
      <c r="AA189" s="168"/>
      <c r="AB189" s="46"/>
      <c r="AC189" s="42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</row>
    <row r="190" spans="1:94" ht="19.5" customHeight="1">
      <c r="A190" s="6"/>
      <c r="B190" s="74"/>
      <c r="C190" s="157"/>
      <c r="D190" s="158"/>
      <c r="E190" s="158"/>
      <c r="F190" s="157"/>
      <c r="G190" s="158"/>
      <c r="H190" s="158"/>
      <c r="I190" s="74"/>
      <c r="J190" s="76"/>
      <c r="K190" s="161"/>
      <c r="L190" s="162"/>
      <c r="M190" s="162"/>
      <c r="N190" s="163"/>
      <c r="O190" s="163"/>
      <c r="P190" s="163"/>
      <c r="Q190" s="163"/>
      <c r="R190" s="163"/>
      <c r="S190" s="77"/>
      <c r="T190" s="77"/>
      <c r="U190" s="77"/>
      <c r="V190" s="77"/>
      <c r="W190" s="77"/>
      <c r="X190" s="119"/>
      <c r="Y190" s="168"/>
      <c r="Z190" s="168"/>
      <c r="AA190" s="168"/>
      <c r="AB190" s="46"/>
      <c r="AC190" s="170"/>
      <c r="AU190" s="5"/>
      <c r="AV190" s="5"/>
      <c r="AW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</row>
    <row r="191" spans="1:94" ht="29.25" customHeight="1">
      <c r="A191" s="6"/>
      <c r="B191" s="85" t="s">
        <v>193</v>
      </c>
      <c r="C191" s="157"/>
      <c r="D191" s="158"/>
      <c r="E191" s="158"/>
      <c r="F191" s="157"/>
      <c r="G191" s="158"/>
      <c r="H191" s="158"/>
      <c r="I191" s="74"/>
      <c r="J191" s="76"/>
      <c r="K191" s="161"/>
      <c r="L191" s="162"/>
      <c r="M191" s="162"/>
      <c r="N191" s="163"/>
      <c r="O191" s="163"/>
      <c r="P191" s="163"/>
      <c r="Q191" s="163"/>
      <c r="R191" s="163"/>
      <c r="S191" s="77"/>
      <c r="T191" s="77"/>
      <c r="U191" s="77"/>
      <c r="V191" s="77"/>
      <c r="W191" s="77"/>
      <c r="X191" s="119"/>
      <c r="Y191" s="168"/>
      <c r="Z191" s="168"/>
      <c r="AA191" s="168"/>
      <c r="AB191" s="46"/>
      <c r="AC191" s="97"/>
      <c r="AU191" s="5"/>
      <c r="AV191" s="5"/>
      <c r="AW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</row>
    <row r="192" spans="1:94" ht="18" customHeight="1">
      <c r="A192" s="6"/>
      <c r="B192" s="157"/>
      <c r="C192" s="157"/>
      <c r="D192" s="158"/>
      <c r="E192" s="158"/>
      <c r="F192" s="157"/>
      <c r="G192" s="158"/>
      <c r="H192" s="158"/>
      <c r="I192" s="74"/>
      <c r="J192" s="76"/>
      <c r="K192" s="161"/>
      <c r="L192" s="162"/>
      <c r="M192" s="162"/>
      <c r="N192" s="163"/>
      <c r="O192" s="163"/>
      <c r="P192" s="163"/>
      <c r="Q192" s="163"/>
      <c r="R192" s="163"/>
      <c r="S192" s="77"/>
      <c r="T192" s="77"/>
      <c r="U192" s="77"/>
      <c r="V192" s="77"/>
      <c r="W192" s="77"/>
      <c r="X192" s="119"/>
      <c r="Y192" s="168"/>
      <c r="Z192" s="168"/>
      <c r="AA192" s="168"/>
      <c r="AB192" s="46"/>
      <c r="AC192" s="9"/>
      <c r="AU192" s="5"/>
      <c r="AV192" s="5"/>
      <c r="AW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</row>
    <row r="193" spans="1:64" ht="18" customHeight="1">
      <c r="A193" s="6"/>
      <c r="B193" s="484" t="s">
        <v>194</v>
      </c>
      <c r="C193" s="485"/>
      <c r="D193" s="484"/>
      <c r="E193" s="484"/>
      <c r="F193" s="485" t="s">
        <v>195</v>
      </c>
      <c r="G193" s="484"/>
      <c r="H193" s="484"/>
      <c r="I193" s="486" t="s">
        <v>196</v>
      </c>
      <c r="J193" s="485" t="s">
        <v>197</v>
      </c>
      <c r="K193" s="485"/>
      <c r="L193" s="146"/>
      <c r="M193" s="146"/>
      <c r="N193" s="482"/>
      <c r="O193" s="482"/>
      <c r="P193" s="482"/>
      <c r="Q193" s="482"/>
      <c r="R193" s="482"/>
      <c r="S193" s="482"/>
      <c r="T193" s="482"/>
      <c r="U193" s="77"/>
      <c r="V193" s="77"/>
      <c r="W193" s="77"/>
      <c r="X193" s="77"/>
      <c r="Y193" s="119"/>
      <c r="Z193" s="76"/>
      <c r="AA193" s="76"/>
      <c r="AB193" s="46"/>
      <c r="AC193" s="497"/>
      <c r="AD193" s="497" t="s">
        <v>205</v>
      </c>
      <c r="AE193" s="498" t="s">
        <v>502</v>
      </c>
      <c r="AF193" s="452"/>
      <c r="AG193" s="452"/>
      <c r="AH193" s="452"/>
      <c r="AU193" s="5"/>
      <c r="AV193" s="5"/>
      <c r="AW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</row>
    <row r="194" spans="1:64" ht="17.25" customHeight="1">
      <c r="A194" s="6"/>
      <c r="B194" s="1274" t="s">
        <v>198</v>
      </c>
      <c r="C194" s="1275"/>
      <c r="D194" s="1275"/>
      <c r="E194" s="1275"/>
      <c r="F194" s="1276" t="s">
        <v>199</v>
      </c>
      <c r="G194" s="1277"/>
      <c r="H194" s="1277"/>
      <c r="I194" s="1277"/>
      <c r="J194" s="1277"/>
      <c r="K194" s="1277"/>
      <c r="L194" s="1274"/>
      <c r="M194" s="1277" t="s">
        <v>200</v>
      </c>
      <c r="N194" s="1277"/>
      <c r="O194" s="1277"/>
      <c r="P194" s="1277"/>
      <c r="Q194" s="1277"/>
      <c r="R194" s="1274"/>
      <c r="S194" s="1278" t="s">
        <v>201</v>
      </c>
      <c r="T194" s="1279"/>
      <c r="U194" s="1277"/>
      <c r="V194" s="1277"/>
      <c r="W194" s="1277"/>
      <c r="X194" s="1277"/>
      <c r="Y194" s="1277"/>
      <c r="Z194" s="1277"/>
      <c r="AA194" s="76"/>
      <c r="AB194" s="77"/>
      <c r="AC194" s="77"/>
      <c r="AD194" s="77"/>
      <c r="AG194" s="1303" t="s">
        <v>157</v>
      </c>
      <c r="AH194" s="1303"/>
      <c r="AI194" s="1065">
        <f>+F5</f>
        <v>3.8</v>
      </c>
      <c r="AJ194" s="1065"/>
    </row>
    <row r="195" spans="1:64" ht="17.25" customHeight="1">
      <c r="A195" s="6"/>
      <c r="B195" s="1320">
        <f>+U120</f>
        <v>23.09</v>
      </c>
      <c r="C195" s="1321"/>
      <c r="D195" s="1321"/>
      <c r="E195" s="1321"/>
      <c r="F195" s="1322">
        <f>ROUND(_xlfn.COT(RADIANS(B195))*(S195-1),4)</f>
        <v>21.884499999999999</v>
      </c>
      <c r="G195" s="1323"/>
      <c r="H195" s="1323"/>
      <c r="I195" s="1323"/>
      <c r="J195" s="1323"/>
      <c r="K195" s="1323"/>
      <c r="L195" s="1324"/>
      <c r="M195" s="1545">
        <f>ROUND((S195+1)*TAN(RADIANS(B195))*2/(1+0.4*SIN(RADIANS(4*B195))),3)</f>
        <v>6.9020000000000001</v>
      </c>
      <c r="N195" s="1546"/>
      <c r="O195" s="1546"/>
      <c r="P195" s="1546"/>
      <c r="Q195" s="1546"/>
      <c r="R195" s="1547"/>
      <c r="S195" s="1546">
        <f>ROUND((EXP(2*(3*PI()/4-RADIANS(B195)/2)*TAN(RADIANS(B195)))/(COS(RADIANS(45+B195/2))^2*2)),3)</f>
        <v>10.33</v>
      </c>
      <c r="T195" s="1546"/>
      <c r="U195" s="1546"/>
      <c r="V195" s="1546"/>
      <c r="W195" s="1546"/>
      <c r="X195" s="1546"/>
      <c r="Y195" s="1546"/>
      <c r="Z195" s="1546"/>
      <c r="AA195" s="129"/>
      <c r="AB195" s="77"/>
      <c r="AC195" s="77"/>
      <c r="AD195" s="77"/>
      <c r="AE195" s="3" t="s">
        <v>210</v>
      </c>
      <c r="AF195" s="202">
        <v>18</v>
      </c>
      <c r="AG195" s="1303" t="s">
        <v>211</v>
      </c>
      <c r="AH195" s="1303"/>
      <c r="AI195" s="1065">
        <f>+V5</f>
        <v>2.72</v>
      </c>
      <c r="AJ195" s="1065"/>
    </row>
    <row r="196" spans="1:64" ht="23.25" customHeight="1">
      <c r="A196" s="6"/>
      <c r="B196" s="74" t="s">
        <v>202</v>
      </c>
      <c r="C196" s="485"/>
      <c r="D196" s="484"/>
      <c r="E196" s="484"/>
      <c r="F196" s="485" t="s">
        <v>195</v>
      </c>
      <c r="G196" s="484"/>
      <c r="H196" s="484"/>
      <c r="I196" s="486" t="s">
        <v>196</v>
      </c>
      <c r="J196" s="485" t="s">
        <v>197</v>
      </c>
      <c r="K196" s="485"/>
      <c r="L196" s="487"/>
      <c r="M196" s="146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119"/>
      <c r="Z196" s="76"/>
      <c r="AA196" s="76"/>
      <c r="AB196" s="77"/>
      <c r="AC196" s="77"/>
      <c r="AD196" s="77"/>
      <c r="AE196" s="3" t="s">
        <v>212</v>
      </c>
      <c r="AF196" s="202">
        <v>8</v>
      </c>
      <c r="AG196" s="1303" t="s">
        <v>213</v>
      </c>
      <c r="AH196" s="1303"/>
      <c r="AI196" s="1065">
        <f>+N5</f>
        <v>0.16</v>
      </c>
      <c r="AJ196" s="1065"/>
    </row>
    <row r="197" spans="1:64" ht="23.25" customHeight="1">
      <c r="A197" s="6"/>
      <c r="B197" s="1274" t="s">
        <v>198</v>
      </c>
      <c r="C197" s="1275"/>
      <c r="D197" s="1275"/>
      <c r="E197" s="1275"/>
      <c r="F197" s="1276" t="s">
        <v>199</v>
      </c>
      <c r="G197" s="1277"/>
      <c r="H197" s="1277"/>
      <c r="I197" s="1277"/>
      <c r="J197" s="1277"/>
      <c r="K197" s="1277"/>
      <c r="L197" s="1274"/>
      <c r="M197" s="1276" t="s">
        <v>200</v>
      </c>
      <c r="N197" s="1277"/>
      <c r="O197" s="1277"/>
      <c r="P197" s="1277"/>
      <c r="Q197" s="1277"/>
      <c r="R197" s="1274"/>
      <c r="S197" s="1275" t="s">
        <v>201</v>
      </c>
      <c r="T197" s="1275"/>
      <c r="U197" s="1275"/>
      <c r="V197" s="1275"/>
      <c r="W197" s="1275"/>
      <c r="X197" s="1275"/>
      <c r="Y197" s="1275"/>
      <c r="Z197" s="1276"/>
      <c r="AA197" s="76"/>
      <c r="AB197" s="77"/>
      <c r="AC197" s="77"/>
      <c r="AD197" s="77"/>
      <c r="AX197" s="3"/>
      <c r="AY197" s="3"/>
      <c r="AZ197" s="5"/>
      <c r="BA197" s="5"/>
    </row>
    <row r="198" spans="1:64" ht="17.25" customHeight="1">
      <c r="A198" s="6"/>
      <c r="B198" s="1320">
        <f>+U135</f>
        <v>23.26</v>
      </c>
      <c r="C198" s="1321"/>
      <c r="D198" s="1321"/>
      <c r="E198" s="1321"/>
      <c r="F198" s="1322">
        <f>ROUND(_xlfn.COT(RADIANS(B198))*(S198-1),4)</f>
        <v>22.1524</v>
      </c>
      <c r="G198" s="1323"/>
      <c r="H198" s="1323"/>
      <c r="I198" s="1323"/>
      <c r="J198" s="1323"/>
      <c r="K198" s="1323"/>
      <c r="L198" s="1324"/>
      <c r="M198" s="1322">
        <f>ROUND((S198+1)*TAN(RADIANS(B198))*2/(1+0.4*SIN(RADIANS(4*B198))),3)</f>
        <v>7.0780000000000003</v>
      </c>
      <c r="N198" s="1323"/>
      <c r="O198" s="1323"/>
      <c r="P198" s="1323"/>
      <c r="Q198" s="1323"/>
      <c r="R198" s="1324"/>
      <c r="S198" s="1545">
        <f>ROUND((EXP(2*(3*PI()/4-RADIANS(B198)/2)*TAN(RADIANS(B198)))/(COS(RADIANS(45+B198/2))^2*2)),3)</f>
        <v>10.522</v>
      </c>
      <c r="T198" s="1546"/>
      <c r="U198" s="1546"/>
      <c r="V198" s="1546"/>
      <c r="W198" s="1546"/>
      <c r="X198" s="1546"/>
      <c r="Y198" s="1546"/>
      <c r="Z198" s="1546"/>
      <c r="AA198" s="76"/>
      <c r="AB198" s="77"/>
      <c r="AC198" s="77"/>
      <c r="AE198" s="171" t="s">
        <v>214</v>
      </c>
      <c r="AH198" s="452">
        <f>+IF(AND(AI196&lt;AI195,AI195&lt;(AI194+AI196)),AT198,IF(AI196&gt;AI195,AT199,IF(AI195&gt;(AI194+AI196),AT200,"")))</f>
        <v>14.74</v>
      </c>
      <c r="AJ198" s="3" t="s">
        <v>535</v>
      </c>
      <c r="AN198" s="57">
        <f>+AI195-AI196</f>
        <v>2.56</v>
      </c>
      <c r="AO198" s="57">
        <f>+AF195</f>
        <v>18</v>
      </c>
      <c r="AP198" s="57">
        <f>+AI196+AI194-AI195</f>
        <v>1.2399999999999998</v>
      </c>
      <c r="AQ198" s="57">
        <f>+AF196</f>
        <v>8</v>
      </c>
      <c r="AR198" s="57"/>
      <c r="AS198" s="57">
        <f>+AN198*AO198+AP198*AQ198</f>
        <v>56</v>
      </c>
      <c r="AT198" s="57">
        <f>ROUND(AS198/AI194,2)</f>
        <v>14.74</v>
      </c>
      <c r="AW198" s="5"/>
      <c r="AY198" s="3"/>
    </row>
    <row r="199" spans="1:64" ht="17.25" customHeight="1">
      <c r="A199" s="6"/>
      <c r="B199" s="76"/>
      <c r="C199" s="76"/>
      <c r="D199" s="76"/>
      <c r="E199" s="76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77"/>
      <c r="S199" s="77"/>
      <c r="T199" s="77"/>
      <c r="U199" s="77"/>
      <c r="V199" s="77"/>
      <c r="W199" s="77"/>
      <c r="X199" s="77"/>
      <c r="Y199" s="119"/>
      <c r="Z199" s="76"/>
      <c r="AA199" s="76"/>
      <c r="AB199" s="77"/>
      <c r="AD199" s="77"/>
      <c r="AE199" s="171" t="s">
        <v>215</v>
      </c>
      <c r="AH199" s="452">
        <f>ROUND(IF(AI196&lt;AI195,AF195,((AI195*AF195)+(AI196-AI195)*AF196)/AI196),2)</f>
        <v>18</v>
      </c>
      <c r="AJ199" s="3" t="s">
        <v>536</v>
      </c>
      <c r="AN199" s="57">
        <f>+AI194</f>
        <v>3.8</v>
      </c>
      <c r="AO199" s="57">
        <f>+AF196</f>
        <v>8</v>
      </c>
      <c r="AP199" s="57"/>
      <c r="AQ199" s="57"/>
      <c r="AR199" s="57"/>
      <c r="AS199" s="57">
        <f>+AN199*AO199+AP199*AQ199</f>
        <v>30.4</v>
      </c>
      <c r="AT199" s="57">
        <f>+AS199/AI194</f>
        <v>8</v>
      </c>
      <c r="AW199" s="5"/>
      <c r="AY199" s="3"/>
    </row>
    <row r="200" spans="1:64" ht="17.25" customHeight="1">
      <c r="A200" s="6"/>
      <c r="B200" s="1319" t="s">
        <v>216</v>
      </c>
      <c r="C200" s="1319"/>
      <c r="D200" s="1319"/>
      <c r="E200" s="634" t="s">
        <v>217</v>
      </c>
      <c r="F200" s="635" t="s">
        <v>218</v>
      </c>
      <c r="G200" s="634"/>
      <c r="H200" s="634"/>
      <c r="I200" s="481"/>
      <c r="J200" s="481"/>
      <c r="K200" s="481"/>
      <c r="L200" s="146"/>
      <c r="M200" s="146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  <c r="Y200" s="483"/>
      <c r="Z200" s="146"/>
      <c r="AA200" s="76"/>
      <c r="AB200" s="77"/>
      <c r="AC200" s="77"/>
      <c r="AD200" s="77"/>
      <c r="AJ200" s="3" t="s">
        <v>537</v>
      </c>
      <c r="AN200" s="57">
        <f>+AI194</f>
        <v>3.8</v>
      </c>
      <c r="AO200" s="57">
        <f>+AF195</f>
        <v>18</v>
      </c>
      <c r="AP200" s="57"/>
      <c r="AQ200" s="57"/>
      <c r="AR200" s="57"/>
      <c r="AS200" s="57">
        <f>+AN200*AO200+AP200*AQ200</f>
        <v>68.399999999999991</v>
      </c>
      <c r="AT200" s="57">
        <f>+AS200/AI194</f>
        <v>18</v>
      </c>
      <c r="AW200" s="5"/>
      <c r="AY200" s="3"/>
    </row>
    <row r="201" spans="1:64" ht="17.25" customHeight="1">
      <c r="A201" s="39"/>
      <c r="B201" s="1540" t="s">
        <v>219</v>
      </c>
      <c r="C201" s="1540"/>
      <c r="D201" s="1540"/>
      <c r="E201" s="1540"/>
      <c r="F201" s="1540"/>
      <c r="G201" s="1541"/>
      <c r="H201" s="1041" t="s">
        <v>220</v>
      </c>
      <c r="I201" s="1042"/>
      <c r="J201" s="1042"/>
      <c r="K201" s="1043"/>
      <c r="L201" s="1041" t="s">
        <v>221</v>
      </c>
      <c r="M201" s="1042"/>
      <c r="N201" s="1043"/>
      <c r="O201" s="1041" t="s">
        <v>222</v>
      </c>
      <c r="P201" s="1042"/>
      <c r="Q201" s="1042"/>
      <c r="R201" s="1043"/>
      <c r="S201" s="1041" t="s">
        <v>223</v>
      </c>
      <c r="T201" s="1042"/>
      <c r="U201" s="1042"/>
      <c r="V201" s="1043"/>
      <c r="W201" s="1041" t="s">
        <v>224</v>
      </c>
      <c r="X201" s="1042"/>
      <c r="Y201" s="1042"/>
      <c r="Z201" s="1042"/>
      <c r="AA201" s="39"/>
      <c r="AB201" s="77"/>
      <c r="AC201" s="77"/>
      <c r="AD201" s="77"/>
      <c r="AE201" s="46"/>
      <c r="AW201" s="5"/>
      <c r="AY201" s="3"/>
    </row>
    <row r="202" spans="1:64" ht="17.25" customHeight="1">
      <c r="A202" s="39"/>
      <c r="B202" s="1528" t="s">
        <v>225</v>
      </c>
      <c r="C202" s="1528"/>
      <c r="D202" s="1528"/>
      <c r="E202" s="1528"/>
      <c r="F202" s="1528"/>
      <c r="G202" s="1529"/>
      <c r="H202" s="1044"/>
      <c r="I202" s="1045"/>
      <c r="J202" s="1045"/>
      <c r="K202" s="1046"/>
      <c r="L202" s="1044"/>
      <c r="M202" s="1045"/>
      <c r="N202" s="1046"/>
      <c r="O202" s="1044"/>
      <c r="P202" s="1045"/>
      <c r="Q202" s="1045"/>
      <c r="R202" s="1046"/>
      <c r="S202" s="1044"/>
      <c r="T202" s="1045"/>
      <c r="U202" s="1045"/>
      <c r="V202" s="1046"/>
      <c r="W202" s="1044"/>
      <c r="X202" s="1045"/>
      <c r="Y202" s="1045"/>
      <c r="Z202" s="1045"/>
      <c r="AA202" s="39"/>
      <c r="AB202" s="77"/>
      <c r="AC202" s="77"/>
      <c r="AD202" s="77"/>
      <c r="AE202" s="46"/>
      <c r="AW202" s="5"/>
      <c r="AY202" s="3"/>
    </row>
    <row r="203" spans="1:64" ht="17.25" customHeight="1">
      <c r="A203" s="39"/>
      <c r="B203" s="1530" t="s">
        <v>226</v>
      </c>
      <c r="C203" s="1530"/>
      <c r="D203" s="1530"/>
      <c r="E203" s="1530"/>
      <c r="F203" s="1530"/>
      <c r="G203" s="1531"/>
      <c r="H203" s="1532">
        <v>1</v>
      </c>
      <c r="I203" s="1533"/>
      <c r="J203" s="1533"/>
      <c r="K203" s="1534"/>
      <c r="L203" s="1532">
        <v>1.3</v>
      </c>
      <c r="M203" s="1533"/>
      <c r="N203" s="1534"/>
      <c r="O203" s="1535" t="s">
        <v>227</v>
      </c>
      <c r="P203" s="1536"/>
      <c r="Q203" s="1536"/>
      <c r="R203" s="1537"/>
      <c r="S203" s="1532">
        <v>1.3</v>
      </c>
      <c r="T203" s="1533"/>
      <c r="U203" s="1533"/>
      <c r="V203" s="1534"/>
      <c r="W203" s="1538" t="str">
        <f>FIXED(1+0.3*F5/J5,2)</f>
        <v>1.29</v>
      </c>
      <c r="X203" s="1539"/>
      <c r="Y203" s="1539"/>
      <c r="Z203" s="1539"/>
      <c r="AA203" s="39"/>
      <c r="AB203" s="77"/>
      <c r="AC203" s="77"/>
      <c r="AD203" s="77"/>
      <c r="AE203" s="46"/>
      <c r="AW203" s="5"/>
      <c r="AY203" s="3"/>
    </row>
    <row r="204" spans="1:64" ht="17.25" customHeight="1">
      <c r="A204" s="39"/>
      <c r="B204" s="1038" t="s">
        <v>229</v>
      </c>
      <c r="C204" s="1038"/>
      <c r="D204" s="1038"/>
      <c r="E204" s="1038"/>
      <c r="F204" s="1038"/>
      <c r="G204" s="1039"/>
      <c r="H204" s="1519">
        <v>0.5</v>
      </c>
      <c r="I204" s="1520"/>
      <c r="J204" s="1520"/>
      <c r="K204" s="1521"/>
      <c r="L204" s="1519">
        <v>0.4</v>
      </c>
      <c r="M204" s="1520"/>
      <c r="N204" s="1521"/>
      <c r="O204" s="1522" t="s">
        <v>230</v>
      </c>
      <c r="P204" s="1523"/>
      <c r="Q204" s="1523"/>
      <c r="R204" s="1524"/>
      <c r="S204" s="1519">
        <v>0.3</v>
      </c>
      <c r="T204" s="1520"/>
      <c r="U204" s="1520"/>
      <c r="V204" s="1521"/>
      <c r="W204" s="1526" t="str">
        <f>FIXED(0.5-0.1*F5/J5,2)</f>
        <v>0.40</v>
      </c>
      <c r="X204" s="1527"/>
      <c r="Y204" s="1527"/>
      <c r="Z204" s="1527"/>
      <c r="AA204" s="39"/>
      <c r="AB204" s="77"/>
      <c r="AC204" s="77"/>
      <c r="AD204" s="77"/>
      <c r="AE204" s="46"/>
      <c r="AF204" s="2"/>
      <c r="AW204" s="5"/>
      <c r="AY204" s="3"/>
    </row>
    <row r="205" spans="1:64" ht="17.25" customHeight="1">
      <c r="A205" s="39"/>
      <c r="B205" s="208"/>
      <c r="C205" s="208"/>
      <c r="D205" s="208"/>
      <c r="E205" s="208"/>
      <c r="F205" s="208"/>
      <c r="G205" s="208"/>
      <c r="H205" s="209"/>
      <c r="I205" s="209"/>
      <c r="J205" s="209"/>
      <c r="K205" s="209"/>
      <c r="L205" s="209"/>
      <c r="M205" s="209"/>
      <c r="N205" s="210"/>
      <c r="O205" s="210"/>
      <c r="P205" s="210"/>
      <c r="Q205" s="209"/>
      <c r="R205" s="209"/>
      <c r="S205" s="209"/>
      <c r="T205" s="211"/>
      <c r="U205" s="211"/>
      <c r="V205" s="211"/>
      <c r="W205" s="39"/>
      <c r="X205" s="39"/>
      <c r="Y205" s="39"/>
      <c r="Z205" s="39"/>
      <c r="AA205" s="39"/>
      <c r="AB205" s="77"/>
      <c r="AC205" s="2"/>
      <c r="AX205" s="3"/>
      <c r="AY205" s="3"/>
      <c r="AZ205" s="5"/>
      <c r="BA205" s="5"/>
    </row>
    <row r="206" spans="1:64" ht="17.25" customHeight="1">
      <c r="A206" s="212"/>
      <c r="B206" s="82" t="s">
        <v>231</v>
      </c>
      <c r="C206" s="6"/>
      <c r="D206" s="6"/>
      <c r="E206" s="82"/>
      <c r="F206" s="21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46"/>
      <c r="AC206" s="2"/>
      <c r="AX206" s="3"/>
      <c r="AY206" s="3"/>
      <c r="AZ206" s="5"/>
      <c r="BA206" s="5"/>
    </row>
    <row r="207" spans="1:64" ht="17.25" customHeight="1">
      <c r="A207" s="6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46"/>
      <c r="AC207" s="452"/>
      <c r="AD207" s="452"/>
      <c r="AE207" s="452"/>
      <c r="AF207" s="452"/>
      <c r="AG207" s="452"/>
      <c r="AH207" s="452"/>
      <c r="AX207" s="3"/>
      <c r="AY207" s="3"/>
      <c r="AZ207" s="5"/>
      <c r="BA207" s="5"/>
    </row>
    <row r="208" spans="1:64" ht="15" customHeight="1">
      <c r="A208" s="6"/>
      <c r="B208" s="1517" t="s">
        <v>157</v>
      </c>
      <c r="C208" s="1518"/>
      <c r="D208" s="1518"/>
      <c r="E208" s="1518"/>
      <c r="F208" s="1084" t="s">
        <v>158</v>
      </c>
      <c r="G208" s="1084"/>
      <c r="H208" s="1084"/>
      <c r="I208" s="1084"/>
      <c r="J208" s="1311" t="s">
        <v>232</v>
      </c>
      <c r="K208" s="1312"/>
      <c r="L208" s="1313"/>
      <c r="M208" s="1311" t="s">
        <v>627</v>
      </c>
      <c r="N208" s="1312"/>
      <c r="O208" s="1313"/>
      <c r="P208" s="1311" t="s">
        <v>619</v>
      </c>
      <c r="Q208" s="1312"/>
      <c r="R208" s="1313"/>
      <c r="S208" s="1311" t="s">
        <v>235</v>
      </c>
      <c r="T208" s="1312"/>
      <c r="U208" s="1313"/>
      <c r="V208" s="1311" t="s">
        <v>236</v>
      </c>
      <c r="W208" s="1312"/>
      <c r="X208" s="1312"/>
      <c r="Y208" s="1312"/>
      <c r="Z208" s="1312"/>
      <c r="AA208" s="77"/>
      <c r="AB208" s="46"/>
      <c r="AC208" s="452"/>
      <c r="AD208" s="452"/>
      <c r="AE208" s="452"/>
      <c r="AF208" s="452"/>
      <c r="AG208" s="452"/>
      <c r="AH208" s="452"/>
      <c r="AX208" s="3"/>
      <c r="AY208" s="3"/>
      <c r="BA208" s="5"/>
      <c r="BB208" s="5"/>
    </row>
    <row r="209" spans="1:34" ht="15.75" customHeight="1">
      <c r="A209" s="6"/>
      <c r="B209" s="1238">
        <f>$F$5</f>
        <v>3.8</v>
      </c>
      <c r="C209" s="1525"/>
      <c r="D209" s="1525"/>
      <c r="E209" s="1525"/>
      <c r="F209" s="1332">
        <f>$J$5</f>
        <v>3.9</v>
      </c>
      <c r="G209" s="1332"/>
      <c r="H209" s="1332"/>
      <c r="I209" s="1332"/>
      <c r="J209" s="1251">
        <f>+$N$5</f>
        <v>0.16</v>
      </c>
      <c r="K209" s="1252"/>
      <c r="L209" s="1253"/>
      <c r="M209" s="1251">
        <f>+$R$5</f>
        <v>150</v>
      </c>
      <c r="N209" s="1252"/>
      <c r="O209" s="1253"/>
      <c r="P209" s="1307">
        <f>+F167</f>
        <v>2.88</v>
      </c>
      <c r="Q209" s="1252"/>
      <c r="R209" s="1253"/>
      <c r="S209" s="1542">
        <f>+O167</f>
        <v>14.736842105263159</v>
      </c>
      <c r="T209" s="1543"/>
      <c r="U209" s="1544"/>
      <c r="V209" s="1308">
        <f>+U119</f>
        <v>2.65</v>
      </c>
      <c r="W209" s="1309"/>
      <c r="X209" s="1309"/>
      <c r="Y209" s="1309"/>
      <c r="Z209" s="1309"/>
      <c r="AA209" s="77"/>
      <c r="AB209" s="42"/>
      <c r="AC209" s="452"/>
      <c r="AD209" s="452"/>
      <c r="AE209" s="452"/>
      <c r="AF209" s="452"/>
      <c r="AG209" s="452"/>
      <c r="AH209" s="452"/>
    </row>
    <row r="210" spans="1:34" ht="15.75" customHeight="1">
      <c r="A210" s="6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42"/>
      <c r="AC210" s="452"/>
      <c r="AD210" s="452" t="s">
        <v>503</v>
      </c>
      <c r="AE210" s="452"/>
      <c r="AF210" s="452"/>
      <c r="AG210" s="452"/>
      <c r="AH210" s="452"/>
    </row>
    <row r="211" spans="1:34" ht="15.75" customHeight="1">
      <c r="A211" s="6"/>
      <c r="B211" s="649" t="s">
        <v>631</v>
      </c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42"/>
    </row>
    <row r="212" spans="1:34" ht="15.75" customHeight="1">
      <c r="A212" s="6"/>
      <c r="B212" s="641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42"/>
    </row>
    <row r="213" spans="1:34" ht="15.75" customHeight="1">
      <c r="A213" s="77"/>
      <c r="B213" s="77" t="s">
        <v>237</v>
      </c>
      <c r="C213" s="213"/>
      <c r="D213" s="77" t="s">
        <v>238</v>
      </c>
      <c r="E213" s="77" t="s">
        <v>629</v>
      </c>
      <c r="F213" s="77"/>
      <c r="G213" s="77"/>
      <c r="H213" s="77"/>
      <c r="I213" s="77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42"/>
    </row>
    <row r="214" spans="1:34" ht="15.75" customHeight="1">
      <c r="A214" s="77"/>
      <c r="B214" s="77"/>
      <c r="C214" s="213"/>
      <c r="D214" s="77"/>
      <c r="E214" s="77"/>
      <c r="F214" s="77"/>
      <c r="G214" s="77"/>
      <c r="H214" s="77"/>
      <c r="I214" s="77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46"/>
    </row>
    <row r="215" spans="1:34" ht="15.75" customHeight="1">
      <c r="A215" s="77"/>
      <c r="B215" s="77"/>
      <c r="C215" s="213"/>
      <c r="D215" s="213"/>
      <c r="E215" s="213" t="s">
        <v>240</v>
      </c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46"/>
    </row>
    <row r="216" spans="1:34" ht="15.75" customHeight="1">
      <c r="A216" s="77"/>
      <c r="B216" s="77"/>
      <c r="C216" s="213"/>
      <c r="D216" s="213"/>
      <c r="E216" s="213" t="s">
        <v>241</v>
      </c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46"/>
    </row>
    <row r="217" spans="1:34" ht="15.75" customHeight="1">
      <c r="A217" s="77"/>
      <c r="B217" s="77"/>
      <c r="C217" s="213"/>
      <c r="D217" s="213"/>
      <c r="E217" s="213" t="s">
        <v>242</v>
      </c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82"/>
    </row>
    <row r="218" spans="1:34" ht="15.75" customHeight="1">
      <c r="A218" s="77"/>
      <c r="B218" s="77"/>
      <c r="C218" s="213"/>
      <c r="D218" s="213"/>
      <c r="E218" s="77" t="s">
        <v>243</v>
      </c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34" ht="15.75" customHeight="1">
      <c r="A219" s="77"/>
      <c r="B219" s="77"/>
      <c r="C219" s="213"/>
      <c r="D219" s="213"/>
      <c r="E219" s="77" t="s">
        <v>244</v>
      </c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34" ht="15.75" customHeight="1">
      <c r="A220" s="77"/>
      <c r="B220" s="77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34" ht="15.75" customHeight="1">
      <c r="A221" s="77"/>
      <c r="B221" s="77"/>
      <c r="C221" s="611" t="s">
        <v>620</v>
      </c>
      <c r="D221" s="611" t="s">
        <v>238</v>
      </c>
      <c r="E221" s="932" t="str">
        <f>+W203</f>
        <v>1.29</v>
      </c>
      <c r="F221" s="932"/>
      <c r="G221" s="932"/>
      <c r="H221" s="611" t="s">
        <v>249</v>
      </c>
      <c r="I221" s="860">
        <f>+V209</f>
        <v>2.65</v>
      </c>
      <c r="J221" s="860"/>
      <c r="K221" s="860"/>
      <c r="L221" s="611" t="s">
        <v>249</v>
      </c>
      <c r="M221" s="859">
        <f>+F195</f>
        <v>21.884499999999999</v>
      </c>
      <c r="N221" s="859"/>
      <c r="O221" s="859"/>
      <c r="P221" s="610"/>
      <c r="Q221" s="610"/>
      <c r="R221" s="610"/>
      <c r="S221" s="610"/>
      <c r="T221" s="610"/>
      <c r="U221" s="610"/>
      <c r="V221" s="610"/>
      <c r="W221" s="77"/>
      <c r="X221" s="77"/>
      <c r="Y221" s="77"/>
      <c r="Z221" s="77"/>
      <c r="AA221" s="77"/>
      <c r="AB221" s="77"/>
    </row>
    <row r="222" spans="1:34" ht="25.5" customHeight="1">
      <c r="A222" s="77"/>
      <c r="B222" s="77"/>
      <c r="C222" s="611"/>
      <c r="D222" s="611" t="s">
        <v>621</v>
      </c>
      <c r="E222" s="932" t="str">
        <f>+W204</f>
        <v>0.40</v>
      </c>
      <c r="F222" s="932"/>
      <c r="G222" s="932"/>
      <c r="H222" s="611" t="s">
        <v>622</v>
      </c>
      <c r="I222" s="862">
        <f>+O167</f>
        <v>14.736842105263159</v>
      </c>
      <c r="J222" s="862"/>
      <c r="K222" s="862"/>
      <c r="L222" s="611" t="s">
        <v>249</v>
      </c>
      <c r="M222" s="860">
        <f>+B209</f>
        <v>3.8</v>
      </c>
      <c r="N222" s="860"/>
      <c r="O222" s="860"/>
      <c r="P222" s="611" t="s">
        <v>249</v>
      </c>
      <c r="Q222" s="859">
        <f>+M195</f>
        <v>6.9020000000000001</v>
      </c>
      <c r="R222" s="859"/>
      <c r="S222" s="859"/>
      <c r="T222" s="610"/>
      <c r="U222" s="610"/>
      <c r="V222" s="610"/>
      <c r="W222" s="77"/>
      <c r="X222" s="77"/>
      <c r="Y222" s="77"/>
      <c r="Z222" s="77"/>
      <c r="AA222" s="77"/>
      <c r="AB222" s="77"/>
    </row>
    <row r="223" spans="1:34" ht="17.25" customHeight="1">
      <c r="A223" s="77"/>
      <c r="B223" s="77"/>
      <c r="C223" s="611"/>
      <c r="D223" s="611" t="s">
        <v>621</v>
      </c>
      <c r="E223" s="860">
        <f>+F167</f>
        <v>2.88</v>
      </c>
      <c r="F223" s="860"/>
      <c r="G223" s="860"/>
      <c r="H223" s="611" t="s">
        <v>249</v>
      </c>
      <c r="I223" s="859">
        <f>+S195</f>
        <v>10.33</v>
      </c>
      <c r="J223" s="859"/>
      <c r="K223" s="859"/>
      <c r="L223" s="636"/>
      <c r="M223" s="636"/>
      <c r="N223" s="611"/>
      <c r="O223" s="637"/>
      <c r="P223" s="637"/>
      <c r="Q223" s="611"/>
      <c r="R223" s="636"/>
      <c r="S223" s="611"/>
      <c r="T223" s="637"/>
      <c r="U223" s="637"/>
      <c r="V223" s="610"/>
      <c r="W223" s="77"/>
      <c r="X223" s="77"/>
      <c r="Y223" s="77"/>
      <c r="Z223" s="77"/>
      <c r="AA223" s="77"/>
      <c r="AB223" s="214"/>
      <c r="AC223" s="97"/>
    </row>
    <row r="224" spans="1:34" ht="17.25" customHeight="1">
      <c r="A224" s="6"/>
      <c r="B224" s="131"/>
      <c r="C224" s="611"/>
      <c r="D224" s="611" t="s">
        <v>238</v>
      </c>
      <c r="E224" s="860">
        <f>ROUND(E221*I221*M221,1)</f>
        <v>74.8</v>
      </c>
      <c r="F224" s="860"/>
      <c r="G224" s="860"/>
      <c r="H224" s="611" t="s">
        <v>623</v>
      </c>
      <c r="I224" s="860">
        <f>ROUND(E222*I222*M222*Q222,1)</f>
        <v>154.6</v>
      </c>
      <c r="J224" s="860"/>
      <c r="K224" s="860"/>
      <c r="L224" s="611" t="s">
        <v>623</v>
      </c>
      <c r="M224" s="860">
        <f>ROUND(E223*I223,1)</f>
        <v>29.8</v>
      </c>
      <c r="N224" s="860"/>
      <c r="O224" s="860"/>
      <c r="P224" s="611" t="s">
        <v>601</v>
      </c>
      <c r="Q224" s="860">
        <f>ROUND(M224+I224+E224,1)</f>
        <v>259.2</v>
      </c>
      <c r="R224" s="860"/>
      <c r="S224" s="860"/>
      <c r="T224" s="610" t="s">
        <v>624</v>
      </c>
      <c r="U224" s="610"/>
      <c r="V224" s="610"/>
      <c r="W224" s="77"/>
      <c r="X224" s="77"/>
      <c r="Y224" s="77"/>
      <c r="Z224" s="77"/>
      <c r="AA224" s="77"/>
      <c r="AB224" s="214"/>
      <c r="AC224" s="9"/>
    </row>
    <row r="225" spans="1:29" ht="17.25" customHeight="1">
      <c r="A225" s="6"/>
      <c r="B225" s="85"/>
      <c r="C225" s="611" t="s">
        <v>625</v>
      </c>
      <c r="D225" s="611" t="s">
        <v>238</v>
      </c>
      <c r="E225" s="860">
        <f>Q224</f>
        <v>259.2</v>
      </c>
      <c r="F225" s="860"/>
      <c r="G225" s="860"/>
      <c r="H225" s="611" t="s">
        <v>626</v>
      </c>
      <c r="I225" s="860">
        <v>3</v>
      </c>
      <c r="J225" s="860"/>
      <c r="K225" s="860"/>
      <c r="L225" s="611" t="s">
        <v>601</v>
      </c>
      <c r="M225" s="860">
        <f>ROUND(E225/I225,1)</f>
        <v>86.4</v>
      </c>
      <c r="N225" s="860"/>
      <c r="O225" s="860"/>
      <c r="P225" s="610" t="s">
        <v>624</v>
      </c>
      <c r="Q225" s="610"/>
      <c r="R225" s="610"/>
      <c r="S225" s="610"/>
      <c r="T225" s="610"/>
      <c r="U225" s="610"/>
      <c r="V225" s="610"/>
      <c r="W225" s="77"/>
      <c r="X225" s="85"/>
      <c r="Y225" s="85"/>
      <c r="Z225" s="85"/>
      <c r="AA225" s="85"/>
      <c r="AB225" s="215"/>
      <c r="AC225" s="216"/>
    </row>
    <row r="226" spans="1:29" ht="17.25" customHeight="1">
      <c r="A226" s="6"/>
      <c r="B226" s="157"/>
      <c r="C226" s="157"/>
      <c r="D226" s="158"/>
      <c r="E226" s="158"/>
      <c r="F226" s="157"/>
      <c r="G226" s="158"/>
      <c r="H226" s="158"/>
      <c r="I226" s="74"/>
      <c r="J226" s="76"/>
      <c r="K226" s="73"/>
      <c r="L226" s="76"/>
      <c r="M226" s="76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119"/>
      <c r="Y226" s="129"/>
      <c r="Z226" s="129"/>
      <c r="AA226" s="129"/>
      <c r="AB226" s="215"/>
      <c r="AC226" s="216"/>
    </row>
    <row r="227" spans="1:29" ht="17.25" customHeight="1">
      <c r="A227" s="224"/>
      <c r="B227" s="94"/>
      <c r="C227" s="228"/>
      <c r="D227" s="228"/>
      <c r="E227" s="228"/>
      <c r="F227" s="228"/>
      <c r="G227" s="229"/>
      <c r="H227" s="230"/>
      <c r="I227" s="230"/>
      <c r="J227" s="230"/>
      <c r="K227" s="231"/>
      <c r="L227" s="232"/>
      <c r="M227" s="232"/>
      <c r="N227" s="228"/>
      <c r="O227" s="233"/>
      <c r="P227" s="233"/>
      <c r="Q227" s="233"/>
      <c r="R227" s="234"/>
      <c r="S227" s="234"/>
      <c r="T227" s="235"/>
      <c r="U227" s="235"/>
      <c r="V227" s="235"/>
      <c r="W227" s="85"/>
      <c r="X227" s="85"/>
      <c r="Y227" s="85"/>
      <c r="Z227" s="85"/>
      <c r="AA227" s="85"/>
      <c r="AB227" s="215"/>
      <c r="AC227" s="217"/>
    </row>
    <row r="228" spans="1:29" ht="17.25" customHeight="1">
      <c r="A228" s="130"/>
      <c r="B228" s="1314" t="s">
        <v>254</v>
      </c>
      <c r="C228" s="1314"/>
      <c r="D228" s="1314"/>
      <c r="E228" s="1314"/>
      <c r="F228" s="1314"/>
      <c r="G228" s="1314"/>
      <c r="H228" s="1314"/>
      <c r="I228" s="1314"/>
      <c r="J228" s="1314"/>
      <c r="K228" s="1314"/>
      <c r="L228" s="1314"/>
      <c r="M228" s="1314"/>
      <c r="N228" s="1314"/>
      <c r="O228" s="1314"/>
      <c r="P228" s="1314"/>
      <c r="Q228" s="1314"/>
      <c r="R228" s="1314"/>
      <c r="S228" s="1315">
        <f>+M225</f>
        <v>86.4</v>
      </c>
      <c r="T228" s="1315"/>
      <c r="U228" s="1315"/>
      <c r="V228" s="1315"/>
      <c r="W228" s="1315"/>
      <c r="X228" s="1315"/>
      <c r="Y228" s="1315"/>
      <c r="Z228" s="1315"/>
      <c r="AA228" s="236"/>
      <c r="AB228" s="215"/>
      <c r="AC228" s="217"/>
    </row>
    <row r="229" spans="1:29" ht="17.25" customHeight="1">
      <c r="A229" s="130"/>
      <c r="B229" s="1316" t="s">
        <v>255</v>
      </c>
      <c r="C229" s="1316"/>
      <c r="D229" s="1316"/>
      <c r="E229" s="1316"/>
      <c r="F229" s="1316"/>
      <c r="G229" s="1316"/>
      <c r="H229" s="1316"/>
      <c r="I229" s="1316"/>
      <c r="J229" s="1316"/>
      <c r="K229" s="1316"/>
      <c r="L229" s="1316"/>
      <c r="M229" s="1316"/>
      <c r="N229" s="1316"/>
      <c r="O229" s="1316"/>
      <c r="P229" s="1316"/>
      <c r="Q229" s="1316"/>
      <c r="R229" s="1316"/>
      <c r="S229" s="1317">
        <f>+R5</f>
        <v>150</v>
      </c>
      <c r="T229" s="1317"/>
      <c r="U229" s="1317"/>
      <c r="V229" s="1317"/>
      <c r="W229" s="1317"/>
      <c r="X229" s="1317"/>
      <c r="Y229" s="1317"/>
      <c r="Z229" s="1317"/>
      <c r="AA229" s="237"/>
      <c r="AB229" s="77"/>
      <c r="AC229" s="217"/>
    </row>
    <row r="230" spans="1:29" ht="17.25" customHeight="1">
      <c r="A230" s="130"/>
      <c r="B230" s="1318" t="s">
        <v>257</v>
      </c>
      <c r="C230" s="1318"/>
      <c r="D230" s="1318"/>
      <c r="E230" s="1318"/>
      <c r="F230" s="1318"/>
      <c r="G230" s="1318"/>
      <c r="H230" s="1318"/>
      <c r="I230" s="1318"/>
      <c r="J230" s="1318"/>
      <c r="K230" s="1318"/>
      <c r="L230" s="1318"/>
      <c r="M230" s="1318"/>
      <c r="N230" s="1318"/>
      <c r="O230" s="1318"/>
      <c r="P230" s="1318"/>
      <c r="Q230" s="1318"/>
      <c r="R230" s="1318"/>
      <c r="S230" s="1318" t="str">
        <f>IF(S228 &gt;= S229, "O.K", "N.G")</f>
        <v>N.G</v>
      </c>
      <c r="T230" s="1318"/>
      <c r="U230" s="1318"/>
      <c r="V230" s="1318"/>
      <c r="W230" s="1318"/>
      <c r="X230" s="1318"/>
      <c r="Y230" s="1318"/>
      <c r="Z230" s="1318"/>
      <c r="AA230" s="238"/>
      <c r="AB230" s="77"/>
      <c r="AC230" s="2"/>
    </row>
    <row r="231" spans="1:29" ht="17.25" customHeight="1">
      <c r="A231" s="130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77"/>
      <c r="AC231" s="2"/>
    </row>
    <row r="232" spans="1:29" ht="17.25" customHeight="1">
      <c r="A232" s="130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77"/>
      <c r="AC232" s="2"/>
    </row>
    <row r="233" spans="1:29" ht="17.25" customHeight="1">
      <c r="A233" s="136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77"/>
      <c r="AC233" s="2"/>
    </row>
    <row r="234" spans="1:29" ht="17.25" customHeight="1">
      <c r="A234" s="130"/>
      <c r="B234" s="82" t="s">
        <v>668</v>
      </c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77"/>
      <c r="AC234" s="2"/>
    </row>
    <row r="235" spans="1:29" ht="17.25" customHeight="1">
      <c r="A235" s="130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77"/>
      <c r="AC235" s="2"/>
    </row>
    <row r="236" spans="1:29" ht="17.25" customHeight="1">
      <c r="A236" s="130"/>
      <c r="B236" s="1517" t="s">
        <v>157</v>
      </c>
      <c r="C236" s="1518"/>
      <c r="D236" s="1518"/>
      <c r="E236" s="1518"/>
      <c r="F236" s="1084" t="s">
        <v>158</v>
      </c>
      <c r="G236" s="1084"/>
      <c r="H236" s="1084"/>
      <c r="I236" s="1084"/>
      <c r="J236" s="1311" t="s">
        <v>232</v>
      </c>
      <c r="K236" s="1312"/>
      <c r="L236" s="1313"/>
      <c r="M236" s="1311" t="s">
        <v>628</v>
      </c>
      <c r="N236" s="1312"/>
      <c r="O236" s="1313"/>
      <c r="P236" s="1311" t="s">
        <v>619</v>
      </c>
      <c r="Q236" s="1312"/>
      <c r="R236" s="1313"/>
      <c r="S236" s="1311" t="s">
        <v>235</v>
      </c>
      <c r="T236" s="1312"/>
      <c r="U236" s="1313"/>
      <c r="V236" s="1311" t="s">
        <v>236</v>
      </c>
      <c r="W236" s="1312"/>
      <c r="X236" s="1312"/>
      <c r="Y236" s="1312"/>
      <c r="Z236" s="1312"/>
      <c r="AA236" s="239"/>
      <c r="AB236" s="77"/>
    </row>
    <row r="237" spans="1:29" ht="17.25" customHeight="1">
      <c r="A237" s="130"/>
      <c r="B237" s="1238">
        <f>$F$5</f>
        <v>3.8</v>
      </c>
      <c r="C237" s="1525"/>
      <c r="D237" s="1525"/>
      <c r="E237" s="1525"/>
      <c r="F237" s="1332">
        <f>$J$5</f>
        <v>3.9</v>
      </c>
      <c r="G237" s="1332"/>
      <c r="H237" s="1332"/>
      <c r="I237" s="1332"/>
      <c r="J237" s="1251">
        <f>+$N$5+T92/1000</f>
        <v>0.66</v>
      </c>
      <c r="K237" s="1252"/>
      <c r="L237" s="1253"/>
      <c r="M237" s="1304">
        <f>+X97</f>
        <v>94.5</v>
      </c>
      <c r="N237" s="1305"/>
      <c r="O237" s="1306"/>
      <c r="P237" s="1307">
        <f>+F167</f>
        <v>2.88</v>
      </c>
      <c r="Q237" s="1252"/>
      <c r="R237" s="1253"/>
      <c r="S237" s="1308">
        <f>+O167</f>
        <v>14.736842105263159</v>
      </c>
      <c r="T237" s="1309"/>
      <c r="U237" s="1310"/>
      <c r="V237" s="1308">
        <f>+U134</f>
        <v>2.84</v>
      </c>
      <c r="W237" s="1309"/>
      <c r="X237" s="1309"/>
      <c r="Y237" s="1309"/>
      <c r="Z237" s="1309"/>
      <c r="AA237" s="239"/>
      <c r="AB237" s="77"/>
    </row>
    <row r="238" spans="1:29" ht="17.25" customHeight="1">
      <c r="A238" s="212"/>
      <c r="C238" s="6"/>
      <c r="D238" s="6"/>
      <c r="E238" s="82"/>
      <c r="F238" s="21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77"/>
    </row>
    <row r="239" spans="1:29" ht="17.25" customHeight="1">
      <c r="A239" s="6"/>
      <c r="B239" s="649" t="s">
        <v>630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85"/>
    </row>
    <row r="240" spans="1:29" ht="17.25" customHeight="1">
      <c r="A240" s="6"/>
      <c r="B240" s="641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85"/>
    </row>
    <row r="241" spans="1:35" ht="15" customHeight="1">
      <c r="A241" s="77"/>
      <c r="B241" s="77"/>
      <c r="C241" s="611" t="s">
        <v>620</v>
      </c>
      <c r="D241" s="77" t="s">
        <v>238</v>
      </c>
      <c r="E241" s="77" t="s">
        <v>629</v>
      </c>
      <c r="F241" s="77"/>
      <c r="G241" s="77"/>
      <c r="H241" s="77"/>
      <c r="I241" s="77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85"/>
    </row>
    <row r="242" spans="1:35" ht="9.75" customHeight="1">
      <c r="A242" s="77"/>
      <c r="B242" s="77"/>
      <c r="C242" s="213"/>
      <c r="D242" s="77"/>
      <c r="E242" s="77"/>
      <c r="F242" s="77"/>
      <c r="G242" s="77"/>
      <c r="H242" s="77"/>
      <c r="I242" s="77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85"/>
    </row>
    <row r="243" spans="1:35" ht="15" customHeight="1">
      <c r="A243" s="77"/>
      <c r="B243" s="77"/>
      <c r="C243" s="213"/>
      <c r="D243" s="213"/>
      <c r="E243" s="213" t="s">
        <v>240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236"/>
      <c r="AE243" s="452" t="s">
        <v>256</v>
      </c>
      <c r="AF243" s="452"/>
      <c r="AG243" s="452"/>
      <c r="AH243" s="452"/>
      <c r="AI243" s="452"/>
    </row>
    <row r="244" spans="1:35" ht="18" customHeight="1">
      <c r="A244" s="77"/>
      <c r="B244" s="77"/>
      <c r="C244" s="213"/>
      <c r="D244" s="213"/>
      <c r="E244" s="213" t="s">
        <v>241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237"/>
      <c r="AE244" s="452"/>
      <c r="AF244" s="452"/>
      <c r="AG244" s="452"/>
      <c r="AH244" s="452"/>
      <c r="AI244" s="452"/>
    </row>
    <row r="245" spans="1:35" ht="18" customHeight="1">
      <c r="A245" s="77"/>
      <c r="B245" s="77"/>
      <c r="C245" s="213"/>
      <c r="D245" s="213"/>
      <c r="E245" s="213" t="s">
        <v>242</v>
      </c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238"/>
    </row>
    <row r="246" spans="1:35" ht="13.5" customHeight="1">
      <c r="A246" s="77"/>
      <c r="B246" s="77"/>
      <c r="C246" s="213"/>
      <c r="D246" s="213"/>
      <c r="E246" s="77" t="s">
        <v>243</v>
      </c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239"/>
    </row>
    <row r="247" spans="1:35" ht="13.5" customHeight="1">
      <c r="A247" s="77"/>
      <c r="B247" s="77"/>
      <c r="C247" s="213"/>
      <c r="D247" s="213"/>
      <c r="E247" s="77" t="s">
        <v>244</v>
      </c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239"/>
    </row>
    <row r="248" spans="1:35" ht="13.5" customHeight="1">
      <c r="A248" s="77"/>
      <c r="B248" s="77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239"/>
    </row>
    <row r="249" spans="1:35" ht="13.5" customHeight="1">
      <c r="A249" s="77"/>
      <c r="B249" s="77"/>
      <c r="C249" s="611" t="s">
        <v>620</v>
      </c>
      <c r="D249" s="611" t="s">
        <v>238</v>
      </c>
      <c r="E249" s="932" t="str">
        <f>+W203</f>
        <v>1.29</v>
      </c>
      <c r="F249" s="932"/>
      <c r="G249" s="932"/>
      <c r="H249" s="611" t="s">
        <v>249</v>
      </c>
      <c r="I249" s="860">
        <f>+V237</f>
        <v>2.84</v>
      </c>
      <c r="J249" s="860"/>
      <c r="K249" s="860"/>
      <c r="L249" s="611" t="s">
        <v>249</v>
      </c>
      <c r="M249" s="859">
        <f>+F198</f>
        <v>22.1524</v>
      </c>
      <c r="N249" s="859"/>
      <c r="O249" s="859"/>
      <c r="P249" s="610"/>
      <c r="Q249" s="610"/>
      <c r="R249" s="610"/>
      <c r="S249" s="610"/>
      <c r="T249" s="610"/>
      <c r="U249" s="610"/>
      <c r="V249" s="77"/>
      <c r="W249" s="77"/>
      <c r="X249" s="77"/>
      <c r="Y249" s="77"/>
      <c r="Z249" s="77"/>
      <c r="AA249" s="77"/>
      <c r="AB249" s="239"/>
    </row>
    <row r="250" spans="1:35" ht="13.5" customHeight="1">
      <c r="A250" s="77"/>
      <c r="B250" s="77"/>
      <c r="C250" s="611"/>
      <c r="D250" s="611" t="s">
        <v>621</v>
      </c>
      <c r="E250" s="932" t="str">
        <f>+W204</f>
        <v>0.40</v>
      </c>
      <c r="F250" s="932"/>
      <c r="G250" s="932"/>
      <c r="H250" s="611" t="s">
        <v>622</v>
      </c>
      <c r="I250" s="862">
        <f>+O167</f>
        <v>14.736842105263159</v>
      </c>
      <c r="J250" s="862"/>
      <c r="K250" s="862"/>
      <c r="L250" s="611" t="s">
        <v>249</v>
      </c>
      <c r="M250" s="860">
        <f>+B237</f>
        <v>3.8</v>
      </c>
      <c r="N250" s="860"/>
      <c r="O250" s="860"/>
      <c r="P250" s="611" t="s">
        <v>249</v>
      </c>
      <c r="Q250" s="859">
        <f>+M198</f>
        <v>7.0780000000000003</v>
      </c>
      <c r="R250" s="859"/>
      <c r="S250" s="859"/>
      <c r="T250" s="610"/>
      <c r="U250" s="610"/>
      <c r="V250" s="77"/>
      <c r="W250" s="77"/>
      <c r="X250" s="77"/>
      <c r="Y250" s="77"/>
      <c r="Z250" s="77"/>
      <c r="AA250" s="77"/>
      <c r="AB250" s="239"/>
    </row>
    <row r="251" spans="1:35" ht="13.5" customHeight="1">
      <c r="A251" s="77"/>
      <c r="B251" s="77"/>
      <c r="C251" s="611"/>
      <c r="D251" s="611" t="s">
        <v>621</v>
      </c>
      <c r="E251" s="860">
        <f>+P237</f>
        <v>2.88</v>
      </c>
      <c r="F251" s="860"/>
      <c r="G251" s="860"/>
      <c r="H251" s="611" t="s">
        <v>249</v>
      </c>
      <c r="I251" s="859">
        <f>+S198</f>
        <v>10.522</v>
      </c>
      <c r="J251" s="859"/>
      <c r="K251" s="859"/>
      <c r="L251" s="636"/>
      <c r="M251" s="636"/>
      <c r="N251" s="611"/>
      <c r="O251" s="637"/>
      <c r="P251" s="637"/>
      <c r="Q251" s="611"/>
      <c r="R251" s="636"/>
      <c r="S251" s="611"/>
      <c r="T251" s="637"/>
      <c r="U251" s="637"/>
      <c r="V251" s="77"/>
      <c r="W251" s="77"/>
      <c r="X251" s="77"/>
      <c r="Y251" s="77"/>
      <c r="Z251" s="77"/>
      <c r="AA251" s="77"/>
      <c r="AB251" s="239"/>
    </row>
    <row r="252" spans="1:35" ht="13.5" customHeight="1">
      <c r="A252" s="6"/>
      <c r="B252" s="131"/>
      <c r="C252" s="611"/>
      <c r="D252" s="611" t="s">
        <v>238</v>
      </c>
      <c r="E252" s="860">
        <f>ROUND(E249*I249*M249,1)</f>
        <v>81.2</v>
      </c>
      <c r="F252" s="860"/>
      <c r="G252" s="860"/>
      <c r="H252" s="611" t="s">
        <v>623</v>
      </c>
      <c r="I252" s="860">
        <f>ROUND(E250*I250*M250*Q250,1)</f>
        <v>158.5</v>
      </c>
      <c r="J252" s="860"/>
      <c r="K252" s="860"/>
      <c r="L252" s="611" t="s">
        <v>623</v>
      </c>
      <c r="M252" s="860">
        <f>ROUND(E251*I251,1)</f>
        <v>30.3</v>
      </c>
      <c r="N252" s="860"/>
      <c r="O252" s="860"/>
      <c r="P252" s="611" t="s">
        <v>601</v>
      </c>
      <c r="Q252" s="860">
        <f>ROUND(M252+I252+E252,1)</f>
        <v>270</v>
      </c>
      <c r="R252" s="860"/>
      <c r="S252" s="860"/>
      <c r="T252" s="610" t="s">
        <v>624</v>
      </c>
      <c r="U252" s="610"/>
      <c r="V252" s="77"/>
      <c r="W252" s="77"/>
      <c r="X252" s="77"/>
      <c r="Y252" s="77"/>
      <c r="Z252" s="77"/>
      <c r="AA252" s="77"/>
      <c r="AB252" s="239"/>
    </row>
    <row r="253" spans="1:35" ht="13.5" customHeight="1">
      <c r="A253" s="6"/>
      <c r="B253" s="131"/>
      <c r="C253" s="611" t="s">
        <v>625</v>
      </c>
      <c r="D253" s="611" t="s">
        <v>238</v>
      </c>
      <c r="E253" s="860">
        <f>Q252</f>
        <v>270</v>
      </c>
      <c r="F253" s="860"/>
      <c r="G253" s="860"/>
      <c r="H253" s="611" t="s">
        <v>626</v>
      </c>
      <c r="I253" s="860">
        <v>3</v>
      </c>
      <c r="J253" s="860"/>
      <c r="K253" s="860"/>
      <c r="L253" s="611" t="s">
        <v>601</v>
      </c>
      <c r="M253" s="861">
        <f>ROUND(E253/I253,1)</f>
        <v>90</v>
      </c>
      <c r="N253" s="861"/>
      <c r="O253" s="861"/>
      <c r="P253" s="610" t="s">
        <v>624</v>
      </c>
      <c r="Q253" s="610"/>
      <c r="R253" s="610"/>
      <c r="S253" s="610"/>
      <c r="T253" s="610"/>
      <c r="U253" s="610"/>
      <c r="V253" s="77"/>
      <c r="W253" s="77"/>
      <c r="X253" s="77"/>
      <c r="Y253" s="77"/>
      <c r="Z253" s="77"/>
      <c r="AA253" s="77"/>
      <c r="AB253" s="239"/>
    </row>
    <row r="254" spans="1:35" ht="13.5" customHeight="1">
      <c r="A254" s="6"/>
      <c r="B254" s="131"/>
      <c r="C254" s="74"/>
      <c r="D254" s="74"/>
      <c r="E254" s="6"/>
      <c r="F254" s="76"/>
      <c r="G254" s="6"/>
      <c r="H254" s="6"/>
      <c r="I254" s="74"/>
      <c r="J254" s="76"/>
      <c r="K254" s="73"/>
      <c r="L254" s="76"/>
      <c r="M254" s="76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239"/>
    </row>
    <row r="255" spans="1:35" ht="13.5" customHeight="1">
      <c r="A255" s="6"/>
      <c r="B255" s="131"/>
      <c r="C255" s="74"/>
      <c r="D255" s="74"/>
      <c r="E255" s="6"/>
      <c r="F255" s="76"/>
      <c r="G255" s="6"/>
      <c r="H255" s="6"/>
      <c r="I255" s="74"/>
      <c r="J255" s="76"/>
      <c r="K255" s="73"/>
      <c r="L255" s="76"/>
      <c r="M255" s="76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239"/>
    </row>
    <row r="256" spans="1:35" ht="13.5" customHeight="1">
      <c r="A256" s="6"/>
      <c r="B256" s="649" t="s">
        <v>632</v>
      </c>
      <c r="C256" s="609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0"/>
      <c r="P256" s="610"/>
      <c r="Q256" s="610"/>
      <c r="R256" s="610"/>
      <c r="S256" s="610"/>
      <c r="T256" s="610"/>
      <c r="U256" s="610"/>
      <c r="V256" s="610"/>
      <c r="W256" s="610"/>
      <c r="X256" s="610"/>
      <c r="Y256" s="610"/>
      <c r="Z256" s="642"/>
      <c r="AA256" s="77"/>
      <c r="AB256" s="239"/>
    </row>
    <row r="257" spans="1:28" ht="13.5" customHeight="1">
      <c r="A257" s="6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0"/>
      <c r="P257" s="610"/>
      <c r="Q257" s="610"/>
      <c r="R257" s="610"/>
      <c r="S257" s="610"/>
      <c r="T257" s="610"/>
      <c r="U257" s="610"/>
      <c r="V257" s="610"/>
      <c r="W257" s="610"/>
      <c r="X257" s="610"/>
      <c r="Y257" s="610"/>
      <c r="Z257" s="610"/>
      <c r="AA257" s="77"/>
      <c r="AB257" s="239"/>
    </row>
    <row r="258" spans="1:28" ht="13.5" customHeight="1">
      <c r="A258" s="6"/>
      <c r="B258" s="610"/>
      <c r="C258" s="611" t="s">
        <v>620</v>
      </c>
      <c r="D258" s="611" t="s">
        <v>601</v>
      </c>
      <c r="E258" s="643" t="s">
        <v>633</v>
      </c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77"/>
      <c r="AB258" s="239"/>
    </row>
    <row r="259" spans="1:28" ht="13.5" customHeight="1">
      <c r="A259" s="6"/>
      <c r="B259" s="610"/>
      <c r="C259" s="611"/>
      <c r="D259" s="611"/>
      <c r="E259" s="643"/>
      <c r="F259" s="610"/>
      <c r="G259" s="610"/>
      <c r="H259" s="610"/>
      <c r="I259" s="610"/>
      <c r="J259" s="610"/>
      <c r="K259" s="610"/>
      <c r="L259" s="610"/>
      <c r="M259" s="610"/>
      <c r="N259" s="610"/>
      <c r="O259" s="610"/>
      <c r="P259" s="610"/>
      <c r="Q259" s="610"/>
      <c r="R259" s="610"/>
      <c r="S259" s="610"/>
      <c r="T259" s="610"/>
      <c r="U259" s="610"/>
      <c r="V259" s="610"/>
      <c r="W259" s="610"/>
      <c r="X259" s="610"/>
      <c r="Y259" s="610"/>
      <c r="Z259" s="610"/>
      <c r="AA259" s="77"/>
      <c r="AB259" s="239"/>
    </row>
    <row r="260" spans="1:28" ht="13.5" customHeight="1">
      <c r="A260" s="6"/>
      <c r="B260" s="610"/>
      <c r="C260" s="610" t="s">
        <v>634</v>
      </c>
      <c r="D260" s="610"/>
      <c r="E260" s="610" t="s">
        <v>635</v>
      </c>
      <c r="F260" s="610"/>
      <c r="G260" s="610"/>
      <c r="H260" s="610"/>
      <c r="I260" s="610"/>
      <c r="J260" s="610"/>
      <c r="K260" s="610"/>
      <c r="L260" s="610"/>
      <c r="M260" s="610"/>
      <c r="N260" s="610"/>
      <c r="O260" s="610"/>
      <c r="P260" s="610"/>
      <c r="Q260" s="610"/>
      <c r="R260" s="610"/>
      <c r="S260" s="610"/>
      <c r="T260" s="610"/>
      <c r="U260" s="610"/>
      <c r="V260" s="610"/>
      <c r="W260" s="610"/>
      <c r="X260" s="610"/>
      <c r="Y260" s="610"/>
      <c r="Z260" s="610"/>
      <c r="AA260" s="77"/>
      <c r="AB260" s="239"/>
    </row>
    <row r="261" spans="1:28" ht="13.5" customHeight="1">
      <c r="A261" s="6"/>
      <c r="B261" s="610"/>
      <c r="C261" s="610"/>
      <c r="D261" s="610"/>
      <c r="E261" s="610" t="s">
        <v>636</v>
      </c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  <c r="P261" s="610"/>
      <c r="Q261" s="610"/>
      <c r="R261" s="610"/>
      <c r="S261" s="610"/>
      <c r="T261" s="610"/>
      <c r="U261" s="610"/>
      <c r="V261" s="610"/>
      <c r="W261" s="610"/>
      <c r="X261" s="610"/>
      <c r="Y261" s="610"/>
      <c r="Z261" s="610"/>
      <c r="AA261" s="77"/>
      <c r="AB261" s="239"/>
    </row>
    <row r="262" spans="1:28" ht="13.5" customHeight="1">
      <c r="A262" s="6"/>
      <c r="B262" s="610"/>
      <c r="C262" s="610"/>
      <c r="D262" s="610"/>
      <c r="E262" s="610" t="s">
        <v>637</v>
      </c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  <c r="P262" s="610"/>
      <c r="Q262" s="610"/>
      <c r="R262" s="610"/>
      <c r="S262" s="610"/>
      <c r="T262" s="610"/>
      <c r="U262" s="610"/>
      <c r="V262" s="610"/>
      <c r="W262" s="610"/>
      <c r="X262" s="610"/>
      <c r="Y262" s="610"/>
      <c r="Z262" s="610"/>
      <c r="AA262" s="77"/>
      <c r="AB262" s="239"/>
    </row>
    <row r="263" spans="1:28" ht="13.5" customHeight="1">
      <c r="A263" s="6"/>
      <c r="B263" s="610"/>
      <c r="C263" s="610"/>
      <c r="D263" s="610"/>
      <c r="E263" s="610" t="s">
        <v>638</v>
      </c>
      <c r="F263" s="610"/>
      <c r="G263" s="610"/>
      <c r="H263" s="610"/>
      <c r="I263" s="610"/>
      <c r="J263" s="610"/>
      <c r="K263" s="610"/>
      <c r="L263" s="610"/>
      <c r="M263" s="610"/>
      <c r="N263" s="610"/>
      <c r="O263" s="610"/>
      <c r="P263" s="610"/>
      <c r="Q263" s="610"/>
      <c r="R263" s="610"/>
      <c r="S263" s="610"/>
      <c r="T263" s="610"/>
      <c r="U263" s="610"/>
      <c r="V263" s="610"/>
      <c r="W263" s="610"/>
      <c r="X263" s="610"/>
      <c r="Y263" s="610"/>
      <c r="Z263" s="610"/>
      <c r="AA263" s="77"/>
      <c r="AB263" s="239"/>
    </row>
    <row r="264" spans="1:28" ht="13.5" customHeight="1">
      <c r="A264" s="6"/>
      <c r="B264" s="610"/>
      <c r="C264" s="610"/>
      <c r="D264" s="610"/>
      <c r="E264" s="610" t="s">
        <v>639</v>
      </c>
      <c r="F264" s="610"/>
      <c r="G264" s="610"/>
      <c r="H264" s="610"/>
      <c r="I264" s="610"/>
      <c r="J264" s="610"/>
      <c r="K264" s="610"/>
      <c r="L264" s="610"/>
      <c r="M264" s="610"/>
      <c r="N264" s="610"/>
      <c r="O264" s="610"/>
      <c r="P264" s="610"/>
      <c r="Q264" s="610"/>
      <c r="R264" s="610"/>
      <c r="S264" s="610"/>
      <c r="T264" s="610"/>
      <c r="U264" s="610"/>
      <c r="V264" s="610"/>
      <c r="W264" s="610"/>
      <c r="X264" s="610"/>
      <c r="Y264" s="610"/>
      <c r="Z264" s="610"/>
      <c r="AA264" s="77"/>
      <c r="AB264" s="239"/>
    </row>
    <row r="265" spans="1:28" ht="13.5" customHeight="1">
      <c r="A265" s="6"/>
      <c r="B265" s="610"/>
      <c r="C265" s="610"/>
      <c r="D265" s="610"/>
      <c r="E265" s="610" t="s">
        <v>640</v>
      </c>
      <c r="F265" s="610"/>
      <c r="G265" s="610"/>
      <c r="H265" s="610"/>
      <c r="I265" s="610"/>
      <c r="J265" s="610"/>
      <c r="K265" s="610"/>
      <c r="L265" s="610"/>
      <c r="M265" s="610"/>
      <c r="N265" s="610"/>
      <c r="O265" s="610"/>
      <c r="P265" s="610"/>
      <c r="Q265" s="610"/>
      <c r="R265" s="610"/>
      <c r="S265" s="610"/>
      <c r="T265" s="610"/>
      <c r="U265" s="610"/>
      <c r="V265" s="610"/>
      <c r="W265" s="610"/>
      <c r="X265" s="610"/>
      <c r="Y265" s="610"/>
      <c r="Z265" s="610"/>
      <c r="AA265" s="77"/>
      <c r="AB265" s="239"/>
    </row>
    <row r="266" spans="1:28" ht="13.5" customHeight="1">
      <c r="A266" s="6"/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  <c r="P266" s="610"/>
      <c r="Q266" s="610"/>
      <c r="R266" s="610"/>
      <c r="S266" s="610"/>
      <c r="T266" s="610"/>
      <c r="U266" s="610"/>
      <c r="V266" s="610"/>
      <c r="W266" s="610"/>
      <c r="X266" s="610"/>
      <c r="Y266" s="610"/>
      <c r="Z266" s="610"/>
      <c r="AA266" s="77"/>
      <c r="AB266" s="239"/>
    </row>
    <row r="267" spans="1:28" ht="13.5" customHeight="1">
      <c r="A267" s="6"/>
      <c r="B267" s="610"/>
      <c r="C267" s="610" t="s">
        <v>641</v>
      </c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  <c r="P267" s="610"/>
      <c r="Q267" s="610"/>
      <c r="R267" s="610"/>
      <c r="S267" s="610"/>
      <c r="T267" s="610"/>
      <c r="U267" s="610"/>
      <c r="V267" s="610"/>
      <c r="W267" s="610"/>
      <c r="X267" s="610"/>
      <c r="Y267" s="610"/>
      <c r="Z267" s="610"/>
      <c r="AA267" s="77"/>
      <c r="AB267" s="239"/>
    </row>
    <row r="268" spans="1:28" ht="13.5" customHeight="1">
      <c r="A268" s="6"/>
      <c r="B268" s="610"/>
      <c r="C268" s="610"/>
      <c r="D268" s="644" t="s">
        <v>642</v>
      </c>
      <c r="E268" s="611" t="s">
        <v>601</v>
      </c>
      <c r="F268" s="643" t="s">
        <v>643</v>
      </c>
      <c r="G268" s="610"/>
      <c r="H268" s="610"/>
      <c r="I268" s="610"/>
      <c r="J268" s="610"/>
      <c r="K268" s="610"/>
      <c r="L268" s="610"/>
      <c r="M268" s="611" t="s">
        <v>601</v>
      </c>
      <c r="N268" s="932">
        <f>IF($U$135=0,5.14,ROUND((N269-1) / TAN(RADIANS($U$135)),3))</f>
        <v>18.37</v>
      </c>
      <c r="O268" s="932"/>
      <c r="P268" s="932"/>
      <c r="Q268" s="610"/>
      <c r="R268" s="610"/>
      <c r="S268" s="610"/>
      <c r="T268" s="610"/>
      <c r="U268" s="610"/>
      <c r="V268" s="610"/>
      <c r="W268" s="610"/>
      <c r="X268" s="610"/>
      <c r="Y268" s="610"/>
      <c r="Z268" s="610"/>
      <c r="AA268" s="77"/>
      <c r="AB268" s="239"/>
    </row>
    <row r="269" spans="1:28" ht="13.5" customHeight="1">
      <c r="A269" s="6"/>
      <c r="B269" s="610"/>
      <c r="C269" s="610"/>
      <c r="D269" s="644" t="s">
        <v>644</v>
      </c>
      <c r="E269" s="611" t="s">
        <v>601</v>
      </c>
      <c r="F269" s="643" t="s">
        <v>645</v>
      </c>
      <c r="G269" s="610"/>
      <c r="H269" s="610"/>
      <c r="I269" s="610"/>
      <c r="J269" s="610"/>
      <c r="K269" s="610"/>
      <c r="L269" s="610"/>
      <c r="M269" s="611" t="s">
        <v>601</v>
      </c>
      <c r="N269" s="932">
        <f>ROUND((TAN(RADIANS(45+0.5*$U$135)))^2   *   EXP(PI()*TAN(RADIANS($U$135))),3)</f>
        <v>8.8960000000000008</v>
      </c>
      <c r="O269" s="932"/>
      <c r="P269" s="932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77"/>
      <c r="AB269" s="239"/>
    </row>
    <row r="270" spans="1:28" ht="13.5" customHeight="1">
      <c r="A270" s="6"/>
      <c r="B270" s="610"/>
      <c r="C270" s="610"/>
      <c r="D270" s="644" t="s">
        <v>646</v>
      </c>
      <c r="E270" s="611" t="s">
        <v>601</v>
      </c>
      <c r="F270" s="643" t="s">
        <v>647</v>
      </c>
      <c r="G270" s="643"/>
      <c r="H270" s="643"/>
      <c r="I270" s="610"/>
      <c r="J270" s="610"/>
      <c r="K270" s="610"/>
      <c r="L270" s="610"/>
      <c r="M270" s="611" t="s">
        <v>601</v>
      </c>
      <c r="N270" s="932">
        <f>(N269-1)   *   TAN(RADIANS(1.4*$U$135))</f>
        <v>5.0427151694353984</v>
      </c>
      <c r="O270" s="932"/>
      <c r="P270" s="932"/>
      <c r="Q270" s="610"/>
      <c r="R270" s="610"/>
      <c r="S270" s="610"/>
      <c r="T270" s="610"/>
      <c r="U270" s="610"/>
      <c r="V270" s="610"/>
      <c r="W270" s="610"/>
      <c r="X270" s="610"/>
      <c r="Y270" s="610"/>
      <c r="Z270" s="610"/>
      <c r="AA270" s="77"/>
      <c r="AB270" s="239"/>
    </row>
    <row r="271" spans="1:28" ht="13.5" customHeight="1">
      <c r="A271" s="6"/>
      <c r="B271" s="610"/>
      <c r="C271" s="610"/>
      <c r="D271" s="644"/>
      <c r="E271" s="611"/>
      <c r="F271" s="643"/>
      <c r="G271" s="643"/>
      <c r="H271" s="643"/>
      <c r="I271" s="610"/>
      <c r="J271" s="610"/>
      <c r="K271" s="610"/>
      <c r="L271" s="610"/>
      <c r="M271" s="611"/>
      <c r="N271" s="645"/>
      <c r="O271" s="645"/>
      <c r="P271" s="645"/>
      <c r="Q271" s="610"/>
      <c r="R271" s="610"/>
      <c r="S271" s="610"/>
      <c r="T271" s="610"/>
      <c r="U271" s="610"/>
      <c r="V271" s="610"/>
      <c r="W271" s="610"/>
      <c r="X271" s="610"/>
      <c r="Y271" s="610"/>
      <c r="Z271" s="610"/>
      <c r="AA271" s="77"/>
      <c r="AB271" s="239"/>
    </row>
    <row r="272" spans="1:28" ht="13.5" customHeight="1">
      <c r="A272" s="6"/>
      <c r="B272" s="610"/>
      <c r="C272" s="610" t="s">
        <v>648</v>
      </c>
      <c r="D272" s="610"/>
      <c r="E272" s="610"/>
      <c r="F272" s="611"/>
      <c r="G272" s="610"/>
      <c r="H272" s="610"/>
      <c r="I272" s="610"/>
      <c r="J272" s="610"/>
      <c r="K272" s="610"/>
      <c r="L272" s="610"/>
      <c r="M272" s="610"/>
      <c r="N272" s="610"/>
      <c r="O272" s="610"/>
      <c r="P272" s="610"/>
      <c r="Q272" s="610"/>
      <c r="R272" s="610"/>
      <c r="S272" s="610"/>
      <c r="T272" s="610"/>
      <c r="U272" s="610"/>
      <c r="V272" s="610"/>
      <c r="W272" s="610"/>
      <c r="X272" s="610"/>
      <c r="Y272" s="610"/>
      <c r="Z272" s="610"/>
      <c r="AA272" s="77"/>
      <c r="AB272" s="239"/>
    </row>
    <row r="273" spans="1:28" ht="13.5" customHeight="1">
      <c r="A273" s="6"/>
      <c r="B273" s="610"/>
      <c r="C273" s="610"/>
      <c r="D273" s="644" t="s">
        <v>649</v>
      </c>
      <c r="E273" s="611" t="s">
        <v>601</v>
      </c>
      <c r="F273" s="646" t="s">
        <v>650</v>
      </c>
      <c r="G273" s="610"/>
      <c r="H273" s="610"/>
      <c r="I273" s="610"/>
      <c r="J273" s="610"/>
      <c r="K273" s="610"/>
      <c r="L273" s="610"/>
      <c r="M273" s="611" t="s">
        <v>601</v>
      </c>
      <c r="N273" s="932">
        <f>1+0.2*N276*($F$5/$J$5)</f>
        <v>1.4492305042750733</v>
      </c>
      <c r="O273" s="932"/>
      <c r="P273" s="932"/>
      <c r="Q273" s="610"/>
      <c r="R273" s="610" t="s">
        <v>651</v>
      </c>
      <c r="S273" s="610"/>
      <c r="T273" s="610"/>
      <c r="U273" s="610"/>
      <c r="V273" s="610"/>
      <c r="W273" s="610"/>
      <c r="X273" s="610"/>
      <c r="Y273" s="610"/>
      <c r="Z273" s="610"/>
      <c r="AA273" s="77"/>
      <c r="AB273" s="239"/>
    </row>
    <row r="274" spans="1:28" ht="13.5" customHeight="1">
      <c r="A274" s="6"/>
      <c r="B274" s="610"/>
      <c r="C274" s="610"/>
      <c r="D274" s="644" t="s">
        <v>652</v>
      </c>
      <c r="E274" s="611" t="s">
        <v>601</v>
      </c>
      <c r="F274" s="644" t="s">
        <v>653</v>
      </c>
      <c r="G274" s="610"/>
      <c r="H274" s="610"/>
      <c r="I274" s="610"/>
      <c r="J274" s="610"/>
      <c r="K274" s="610"/>
      <c r="L274" s="610"/>
      <c r="M274" s="611" t="s">
        <v>601</v>
      </c>
      <c r="N274" s="932">
        <v>1</v>
      </c>
      <c r="O274" s="932"/>
      <c r="P274" s="932"/>
      <c r="Q274" s="610"/>
      <c r="R274" s="610" t="s">
        <v>654</v>
      </c>
      <c r="S274" s="610"/>
      <c r="T274" s="610"/>
      <c r="U274" s="610"/>
      <c r="V274" s="610"/>
      <c r="W274" s="610"/>
      <c r="X274" s="610"/>
      <c r="Y274" s="610"/>
      <c r="Z274" s="610"/>
      <c r="AA274" s="77"/>
      <c r="AB274" s="239"/>
    </row>
    <row r="275" spans="1:28" ht="13.5" customHeight="1">
      <c r="A275" s="6"/>
      <c r="B275" s="610"/>
      <c r="C275" s="610"/>
      <c r="D275" s="644" t="s">
        <v>652</v>
      </c>
      <c r="E275" s="611" t="s">
        <v>601</v>
      </c>
      <c r="F275" s="644" t="s">
        <v>653</v>
      </c>
      <c r="G275" s="611" t="s">
        <v>601</v>
      </c>
      <c r="H275" s="646" t="s">
        <v>655</v>
      </c>
      <c r="I275" s="610"/>
      <c r="J275" s="610"/>
      <c r="K275" s="610"/>
      <c r="L275" s="610"/>
      <c r="M275" s="611" t="s">
        <v>601</v>
      </c>
      <c r="N275" s="932">
        <f>1+0.1*N276*($F$5/$J$5)</f>
        <v>1.2246152521375366</v>
      </c>
      <c r="O275" s="932"/>
      <c r="P275" s="932"/>
      <c r="Q275" s="610"/>
      <c r="R275" s="610" t="s">
        <v>656</v>
      </c>
      <c r="S275" s="610"/>
      <c r="T275" s="610"/>
      <c r="U275" s="610"/>
      <c r="V275" s="610"/>
      <c r="W275" s="610"/>
      <c r="X275" s="610"/>
      <c r="Y275" s="610"/>
      <c r="Z275" s="610"/>
      <c r="AA275" s="77"/>
      <c r="AB275" s="239"/>
    </row>
    <row r="276" spans="1:28" ht="13.5" customHeight="1">
      <c r="A276" s="6"/>
      <c r="B276" s="610"/>
      <c r="C276" s="610"/>
      <c r="D276" s="610"/>
      <c r="E276" s="647" t="s">
        <v>657</v>
      </c>
      <c r="F276" s="611" t="s">
        <v>658</v>
      </c>
      <c r="G276" s="611" t="s">
        <v>601</v>
      </c>
      <c r="H276" s="610" t="s">
        <v>659</v>
      </c>
      <c r="I276" s="610"/>
      <c r="J276" s="610"/>
      <c r="K276" s="610"/>
      <c r="L276" s="610"/>
      <c r="M276" s="611" t="s">
        <v>601</v>
      </c>
      <c r="N276" s="932">
        <f>(TAN(RADIANS(45+U135/2)))^2</f>
        <v>2.3052617982536656</v>
      </c>
      <c r="O276" s="932"/>
      <c r="P276" s="932"/>
      <c r="Q276" s="610"/>
      <c r="R276" s="610"/>
      <c r="S276" s="610"/>
      <c r="T276" s="610"/>
      <c r="U276" s="610"/>
      <c r="V276" s="610"/>
      <c r="W276" s="610"/>
      <c r="X276" s="610"/>
      <c r="Y276" s="610"/>
      <c r="Z276" s="610"/>
      <c r="AA276" s="77"/>
      <c r="AB276" s="239"/>
    </row>
    <row r="277" spans="1:28" ht="13.5" customHeight="1">
      <c r="A277" s="6"/>
      <c r="B277" s="610"/>
      <c r="C277" s="610"/>
      <c r="D277" s="610"/>
      <c r="E277" s="647"/>
      <c r="F277" s="611"/>
      <c r="G277" s="611"/>
      <c r="H277" s="610"/>
      <c r="I277" s="610"/>
      <c r="J277" s="610"/>
      <c r="K277" s="610"/>
      <c r="L277" s="610"/>
      <c r="M277" s="611"/>
      <c r="N277" s="645"/>
      <c r="O277" s="645"/>
      <c r="P277" s="645"/>
      <c r="Q277" s="610"/>
      <c r="R277" s="610"/>
      <c r="S277" s="610"/>
      <c r="T277" s="610"/>
      <c r="U277" s="610"/>
      <c r="V277" s="610"/>
      <c r="W277" s="610"/>
      <c r="X277" s="610"/>
      <c r="Y277" s="610"/>
      <c r="Z277" s="610"/>
      <c r="AA277" s="77"/>
      <c r="AB277" s="239"/>
    </row>
    <row r="278" spans="1:28" ht="13.5" customHeight="1">
      <c r="A278" s="6"/>
      <c r="B278" s="610"/>
      <c r="C278" s="610" t="s">
        <v>660</v>
      </c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610"/>
      <c r="P278" s="610"/>
      <c r="Q278" s="610"/>
      <c r="R278" s="610"/>
      <c r="S278" s="610"/>
      <c r="T278" s="610"/>
      <c r="U278" s="610"/>
      <c r="V278" s="610"/>
      <c r="W278" s="610"/>
      <c r="X278" s="610"/>
      <c r="Y278" s="610"/>
      <c r="Z278" s="610"/>
      <c r="AA278" s="77"/>
      <c r="AB278" s="239"/>
    </row>
    <row r="279" spans="1:28" ht="13.5" customHeight="1">
      <c r="A279" s="6"/>
      <c r="B279" s="610"/>
      <c r="C279" s="610"/>
      <c r="D279" s="644" t="s">
        <v>661</v>
      </c>
      <c r="E279" s="611" t="s">
        <v>601</v>
      </c>
      <c r="F279" s="646" t="s">
        <v>662</v>
      </c>
      <c r="G279" s="610"/>
      <c r="H279" s="610"/>
      <c r="I279" s="610"/>
      <c r="J279" s="610"/>
      <c r="K279" s="610"/>
      <c r="L279" s="610"/>
      <c r="M279" s="611" t="s">
        <v>601</v>
      </c>
      <c r="N279" s="932">
        <f>1+0.2*SQRT(N282)*($N$5/$F$5)</f>
        <v>1.0127857588318656</v>
      </c>
      <c r="O279" s="932"/>
      <c r="P279" s="932"/>
      <c r="Q279" s="610"/>
      <c r="R279" s="610" t="s">
        <v>651</v>
      </c>
      <c r="S279" s="610"/>
      <c r="T279" s="610"/>
      <c r="U279" s="610"/>
      <c r="V279" s="610"/>
      <c r="W279" s="610"/>
      <c r="X279" s="610"/>
      <c r="Y279" s="610"/>
      <c r="Z279" s="610"/>
      <c r="AA279" s="77"/>
      <c r="AB279" s="239"/>
    </row>
    <row r="280" spans="1:28" ht="13.5" customHeight="1">
      <c r="A280" s="6"/>
      <c r="B280" s="610"/>
      <c r="C280" s="610"/>
      <c r="D280" s="644" t="s">
        <v>663</v>
      </c>
      <c r="E280" s="611" t="s">
        <v>601</v>
      </c>
      <c r="F280" s="644" t="s">
        <v>664</v>
      </c>
      <c r="G280" s="610"/>
      <c r="H280" s="610"/>
      <c r="I280" s="610"/>
      <c r="J280" s="610"/>
      <c r="K280" s="610"/>
      <c r="L280" s="610"/>
      <c r="M280" s="611" t="s">
        <v>601</v>
      </c>
      <c r="N280" s="932">
        <v>1</v>
      </c>
      <c r="O280" s="932"/>
      <c r="P280" s="932"/>
      <c r="Q280" s="610"/>
      <c r="R280" s="610" t="s">
        <v>654</v>
      </c>
      <c r="S280" s="610"/>
      <c r="T280" s="610"/>
      <c r="U280" s="610"/>
      <c r="V280" s="610"/>
      <c r="W280" s="610"/>
      <c r="X280" s="610"/>
      <c r="Y280" s="610"/>
      <c r="Z280" s="610"/>
      <c r="AA280" s="77"/>
      <c r="AB280" s="239"/>
    </row>
    <row r="281" spans="1:28" ht="13.5" customHeight="1">
      <c r="A281" s="6"/>
      <c r="B281" s="610"/>
      <c r="C281" s="610"/>
      <c r="D281" s="644" t="s">
        <v>663</v>
      </c>
      <c r="E281" s="611" t="s">
        <v>601</v>
      </c>
      <c r="F281" s="644" t="s">
        <v>664</v>
      </c>
      <c r="G281" s="611" t="s">
        <v>601</v>
      </c>
      <c r="H281" s="646" t="s">
        <v>665</v>
      </c>
      <c r="I281" s="610"/>
      <c r="J281" s="610"/>
      <c r="K281" s="610"/>
      <c r="L281" s="610"/>
      <c r="M281" s="611" t="s">
        <v>601</v>
      </c>
      <c r="N281" s="932">
        <f>1+0.1*SQRT(N282)*($N$5/$F$5)</f>
        <v>1.0063928794159329</v>
      </c>
      <c r="O281" s="932"/>
      <c r="P281" s="932"/>
      <c r="Q281" s="610"/>
      <c r="R281" s="610" t="s">
        <v>656</v>
      </c>
      <c r="S281" s="610"/>
      <c r="T281" s="610"/>
      <c r="U281" s="610"/>
      <c r="V281" s="610"/>
      <c r="W281" s="610"/>
      <c r="X281" s="610"/>
      <c r="Y281" s="610"/>
      <c r="Z281" s="610"/>
      <c r="AA281" s="77"/>
      <c r="AB281" s="239"/>
    </row>
    <row r="282" spans="1:28" ht="13.5" customHeight="1">
      <c r="A282" s="6"/>
      <c r="B282" s="610"/>
      <c r="C282" s="610"/>
      <c r="D282" s="610"/>
      <c r="E282" s="647" t="s">
        <v>657</v>
      </c>
      <c r="F282" s="611" t="s">
        <v>658</v>
      </c>
      <c r="G282" s="611" t="s">
        <v>601</v>
      </c>
      <c r="H282" s="610" t="s">
        <v>659</v>
      </c>
      <c r="I282" s="610"/>
      <c r="J282" s="610"/>
      <c r="K282" s="610"/>
      <c r="L282" s="610"/>
      <c r="M282" s="611" t="s">
        <v>601</v>
      </c>
      <c r="N282" s="932">
        <f>(TAN(RADIANS(45+U135/2)))^2</f>
        <v>2.3052617982536656</v>
      </c>
      <c r="O282" s="932"/>
      <c r="P282" s="932"/>
      <c r="Q282" s="610"/>
      <c r="R282" s="610"/>
      <c r="S282" s="610"/>
      <c r="T282" s="610"/>
      <c r="U282" s="610"/>
      <c r="V282" s="610"/>
      <c r="W282" s="610"/>
      <c r="X282" s="610"/>
      <c r="Y282" s="610"/>
      <c r="Z282" s="610"/>
      <c r="AA282" s="77"/>
      <c r="AB282" s="239"/>
    </row>
    <row r="283" spans="1:28" ht="13.5" customHeight="1">
      <c r="A283" s="6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0"/>
      <c r="P283" s="610"/>
      <c r="Q283" s="610"/>
      <c r="R283" s="610"/>
      <c r="S283" s="610"/>
      <c r="T283" s="610"/>
      <c r="U283" s="610"/>
      <c r="V283" s="610"/>
      <c r="W283" s="610"/>
      <c r="X283" s="610"/>
      <c r="Y283" s="610"/>
      <c r="Z283" s="610"/>
      <c r="AA283" s="77"/>
      <c r="AB283" s="239"/>
    </row>
    <row r="284" spans="1:28" ht="13.5" customHeight="1">
      <c r="A284" s="6"/>
      <c r="B284" s="610"/>
      <c r="C284" s="610" t="s">
        <v>666</v>
      </c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77"/>
      <c r="AB284" s="239"/>
    </row>
    <row r="285" spans="1:28" ht="13.5" customHeight="1">
      <c r="A285" s="6"/>
      <c r="B285" s="610"/>
      <c r="C285" s="610"/>
      <c r="D285" s="611" t="s">
        <v>620</v>
      </c>
      <c r="E285" s="611" t="s">
        <v>238</v>
      </c>
      <c r="F285" s="860">
        <f>+V237</f>
        <v>2.84</v>
      </c>
      <c r="G285" s="860"/>
      <c r="H285" s="611" t="s">
        <v>249</v>
      </c>
      <c r="I285" s="932">
        <f>+N268</f>
        <v>18.37</v>
      </c>
      <c r="J285" s="932"/>
      <c r="K285" s="932"/>
      <c r="L285" s="611" t="s">
        <v>249</v>
      </c>
      <c r="M285" s="859">
        <f>N273</f>
        <v>1.4492305042750733</v>
      </c>
      <c r="N285" s="859"/>
      <c r="O285" s="859"/>
      <c r="P285" s="611" t="s">
        <v>249</v>
      </c>
      <c r="Q285" s="859">
        <f>N279</f>
        <v>1.0127857588318656</v>
      </c>
      <c r="R285" s="859"/>
      <c r="S285" s="859"/>
      <c r="T285" s="610"/>
      <c r="U285" s="610"/>
      <c r="V285" s="610"/>
      <c r="W285" s="610"/>
      <c r="X285" s="610"/>
      <c r="Y285" s="610"/>
      <c r="Z285" s="610"/>
      <c r="AA285" s="77"/>
      <c r="AB285" s="239"/>
    </row>
    <row r="286" spans="1:28" ht="13.5" customHeight="1">
      <c r="A286" s="6"/>
      <c r="B286" s="610"/>
      <c r="C286" s="610"/>
      <c r="D286" s="610"/>
      <c r="E286" s="611" t="s">
        <v>621</v>
      </c>
      <c r="F286" s="862">
        <f>+P237</f>
        <v>2.88</v>
      </c>
      <c r="G286" s="862"/>
      <c r="H286" s="611" t="s">
        <v>622</v>
      </c>
      <c r="I286" s="859">
        <f>+N269</f>
        <v>8.8960000000000008</v>
      </c>
      <c r="J286" s="859"/>
      <c r="K286" s="859"/>
      <c r="L286" s="611" t="s">
        <v>249</v>
      </c>
      <c r="M286" s="859">
        <f>IF(U135=0,  N274,  N275)</f>
        <v>1.2246152521375366</v>
      </c>
      <c r="N286" s="859"/>
      <c r="O286" s="859"/>
      <c r="P286" s="611" t="s">
        <v>249</v>
      </c>
      <c r="Q286" s="859">
        <f>IF(K189=0,  N280,  N281)</f>
        <v>1</v>
      </c>
      <c r="R286" s="859"/>
      <c r="S286" s="859"/>
      <c r="T286" s="610"/>
      <c r="U286" s="610"/>
      <c r="V286" s="610"/>
      <c r="W286" s="610"/>
      <c r="X286" s="610"/>
      <c r="Y286" s="610"/>
      <c r="Z286" s="610"/>
      <c r="AA286" s="77"/>
      <c r="AB286" s="240"/>
    </row>
    <row r="287" spans="1:28" ht="13.5" customHeight="1">
      <c r="A287" s="6"/>
      <c r="B287" s="610"/>
      <c r="C287" s="610"/>
      <c r="D287" s="610"/>
      <c r="E287" s="611" t="s">
        <v>621</v>
      </c>
      <c r="F287" s="862">
        <v>0.5</v>
      </c>
      <c r="G287" s="862"/>
      <c r="H287" s="611" t="s">
        <v>249</v>
      </c>
      <c r="I287" s="862">
        <f>+S237</f>
        <v>14.736842105263159</v>
      </c>
      <c r="J287" s="862"/>
      <c r="K287" s="611" t="s">
        <v>249</v>
      </c>
      <c r="L287" s="862">
        <f>+B237</f>
        <v>3.8</v>
      </c>
      <c r="M287" s="862"/>
      <c r="N287" s="611" t="s">
        <v>249</v>
      </c>
      <c r="O287" s="859">
        <f>+N270</f>
        <v>5.0427151694353984</v>
      </c>
      <c r="P287" s="859"/>
      <c r="Q287" s="859"/>
      <c r="R287" s="611" t="s">
        <v>249</v>
      </c>
      <c r="S287" s="859">
        <f>IF(U135=0,N274,N275)</f>
        <v>1.2246152521375366</v>
      </c>
      <c r="T287" s="859"/>
      <c r="U287" s="859"/>
      <c r="V287" s="611" t="s">
        <v>249</v>
      </c>
      <c r="W287" s="859">
        <f>IF(U135=0,N280,N281)</f>
        <v>1.0063928794159329</v>
      </c>
      <c r="X287" s="859"/>
      <c r="Y287" s="859"/>
      <c r="Z287" s="610"/>
      <c r="AA287" s="77"/>
      <c r="AB287" s="240"/>
    </row>
    <row r="288" spans="1:28" ht="13.5" customHeight="1">
      <c r="A288" s="6"/>
      <c r="B288" s="610"/>
      <c r="C288" s="610"/>
      <c r="D288" s="610"/>
      <c r="E288" s="611" t="s">
        <v>238</v>
      </c>
      <c r="F288" s="860">
        <f>ROUND(F285*I285*M285*Q285,1)</f>
        <v>76.599999999999994</v>
      </c>
      <c r="G288" s="860"/>
      <c r="H288" s="860"/>
      <c r="I288" s="611" t="s">
        <v>623</v>
      </c>
      <c r="J288" s="860">
        <f>ROUND(F286*I286*M286*Q286,1)</f>
        <v>31.4</v>
      </c>
      <c r="K288" s="860"/>
      <c r="L288" s="860"/>
      <c r="M288" s="611" t="s">
        <v>623</v>
      </c>
      <c r="N288" s="860">
        <f>ROUND(F287*I287*L287*O287*S287*W287,1)</f>
        <v>174</v>
      </c>
      <c r="O288" s="860"/>
      <c r="P288" s="860"/>
      <c r="Q288" s="611" t="s">
        <v>601</v>
      </c>
      <c r="R288" s="860">
        <f>ROUND(N288+J288+F288,1)</f>
        <v>282</v>
      </c>
      <c r="S288" s="860"/>
      <c r="T288" s="860"/>
      <c r="U288" s="610" t="s">
        <v>624</v>
      </c>
      <c r="V288" s="610"/>
      <c r="W288" s="610"/>
      <c r="X288" s="610"/>
      <c r="Y288" s="610"/>
      <c r="Z288" s="610"/>
      <c r="AA288" s="77"/>
      <c r="AB288" s="240"/>
    </row>
    <row r="289" spans="1:28" ht="13.5" customHeight="1">
      <c r="A289" s="6"/>
      <c r="B289" s="610"/>
      <c r="C289" s="610"/>
      <c r="D289" s="611" t="s">
        <v>625</v>
      </c>
      <c r="E289" s="611" t="s">
        <v>238</v>
      </c>
      <c r="F289" s="860">
        <f>R288</f>
        <v>282</v>
      </c>
      <c r="G289" s="860"/>
      <c r="H289" s="860"/>
      <c r="I289" s="611" t="s">
        <v>626</v>
      </c>
      <c r="J289" s="860">
        <v>3</v>
      </c>
      <c r="K289" s="860"/>
      <c r="L289" s="860"/>
      <c r="M289" s="611" t="s">
        <v>601</v>
      </c>
      <c r="N289" s="861">
        <f>ROUND(F289/J289,1)</f>
        <v>94</v>
      </c>
      <c r="O289" s="861"/>
      <c r="P289" s="861"/>
      <c r="Q289" s="610" t="s">
        <v>624</v>
      </c>
      <c r="R289" s="610"/>
      <c r="S289" s="610"/>
      <c r="T289" s="610"/>
      <c r="U289" s="610"/>
      <c r="V289" s="610"/>
      <c r="W289" s="610"/>
      <c r="X289" s="610"/>
      <c r="Y289" s="610"/>
      <c r="Z289" s="610"/>
      <c r="AA289" s="77"/>
      <c r="AB289" s="240"/>
    </row>
    <row r="290" spans="1:28" ht="13.5" customHeight="1">
      <c r="A290" s="6"/>
      <c r="B290" s="131"/>
      <c r="C290" s="74"/>
      <c r="D290" s="74"/>
      <c r="E290" s="6"/>
      <c r="F290" s="76"/>
      <c r="G290" s="6"/>
      <c r="H290" s="6"/>
      <c r="I290" s="74"/>
      <c r="J290" s="76"/>
      <c r="K290" s="73"/>
      <c r="L290" s="76"/>
      <c r="M290" s="76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40"/>
    </row>
    <row r="291" spans="1:28" ht="13.5" customHeight="1">
      <c r="A291" s="6"/>
      <c r="C291" s="74"/>
      <c r="D291" s="74"/>
      <c r="E291" s="6"/>
      <c r="F291" s="76"/>
      <c r="G291" s="6"/>
      <c r="H291" s="6"/>
      <c r="I291" s="74"/>
      <c r="J291" s="76"/>
      <c r="K291" s="73"/>
      <c r="L291" s="76"/>
      <c r="M291" s="76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40"/>
    </row>
    <row r="292" spans="1:28" ht="13.5" customHeight="1">
      <c r="A292" s="6"/>
      <c r="B292" s="641" t="s">
        <v>775</v>
      </c>
      <c r="C292" s="74"/>
      <c r="D292" s="74"/>
      <c r="E292" s="6"/>
      <c r="F292" s="76"/>
      <c r="G292" s="6"/>
      <c r="H292" s="6"/>
      <c r="I292" s="74"/>
      <c r="J292" s="76"/>
      <c r="K292" s="73"/>
      <c r="L292" s="76"/>
      <c r="M292" s="76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40"/>
    </row>
    <row r="293" spans="1:28" ht="13.5" customHeight="1">
      <c r="A293" s="6"/>
      <c r="B293" s="131"/>
      <c r="C293" s="74"/>
      <c r="D293" s="74"/>
      <c r="E293" s="6"/>
      <c r="F293" s="76"/>
      <c r="G293" s="6"/>
      <c r="H293" s="6"/>
      <c r="I293" s="74"/>
      <c r="J293" s="76"/>
      <c r="K293" s="73"/>
      <c r="L293" s="76"/>
      <c r="M293" s="76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40"/>
    </row>
    <row r="294" spans="1:28" ht="13.5" customHeight="1">
      <c r="A294" s="6"/>
      <c r="B294" s="131"/>
      <c r="C294" s="611" t="s">
        <v>625</v>
      </c>
      <c r="D294" s="611" t="s">
        <v>601</v>
      </c>
      <c r="E294" s="610" t="s">
        <v>776</v>
      </c>
      <c r="F294" s="610"/>
      <c r="G294" s="610"/>
      <c r="H294" s="610"/>
      <c r="I294" s="610"/>
      <c r="J294" s="610"/>
      <c r="K294" s="610"/>
      <c r="L294" s="610"/>
      <c r="M294" s="610"/>
      <c r="N294" s="610"/>
      <c r="O294" s="610"/>
      <c r="P294" s="610"/>
      <c r="Q294" s="610"/>
      <c r="R294" s="610"/>
      <c r="S294" s="610"/>
      <c r="T294" s="610"/>
      <c r="U294" s="610"/>
      <c r="V294" s="610"/>
      <c r="W294" s="610"/>
      <c r="X294" s="610"/>
      <c r="Y294" s="610"/>
      <c r="Z294" s="642"/>
      <c r="AA294" s="77"/>
      <c r="AB294" s="240"/>
    </row>
    <row r="295" spans="1:28" ht="13.5" customHeight="1">
      <c r="A295" s="6"/>
      <c r="B295" s="131"/>
      <c r="C295" s="611"/>
      <c r="D295" s="611" t="s">
        <v>601</v>
      </c>
      <c r="E295" s="1509">
        <f>K324</f>
        <v>150</v>
      </c>
      <c r="F295" s="1509"/>
      <c r="G295" s="1509"/>
      <c r="H295" s="611" t="s">
        <v>623</v>
      </c>
      <c r="I295" s="1509">
        <f>U328</f>
        <v>16.5</v>
      </c>
      <c r="J295" s="1509"/>
      <c r="K295" s="1509"/>
      <c r="L295" s="610"/>
      <c r="M295" s="610"/>
      <c r="N295" s="610"/>
      <c r="O295" s="610"/>
      <c r="P295" s="610"/>
      <c r="Q295" s="610"/>
      <c r="R295" s="610"/>
      <c r="S295" s="610"/>
      <c r="T295" s="610"/>
      <c r="U295" s="610"/>
      <c r="V295" s="610"/>
      <c r="W295" s="610"/>
      <c r="X295" s="610"/>
      <c r="Y295" s="610"/>
      <c r="Z295" s="642"/>
      <c r="AA295" s="77"/>
      <c r="AB295" s="240"/>
    </row>
    <row r="296" spans="1:28" ht="13.5" customHeight="1">
      <c r="A296" s="6"/>
      <c r="B296" s="131"/>
      <c r="C296" s="611"/>
      <c r="D296" s="611" t="s">
        <v>601</v>
      </c>
      <c r="E296" s="1509">
        <f>M330</f>
        <v>166.5</v>
      </c>
      <c r="F296" s="1509"/>
      <c r="G296" s="1509"/>
      <c r="H296" s="610" t="s">
        <v>624</v>
      </c>
      <c r="I296" s="610"/>
      <c r="J296" s="610"/>
      <c r="K296" s="610"/>
      <c r="L296" s="610"/>
      <c r="M296" s="610"/>
      <c r="N296" s="610"/>
      <c r="O296" s="610"/>
      <c r="P296" s="610"/>
      <c r="Q296" s="610"/>
      <c r="R296" s="610"/>
      <c r="S296" s="610"/>
      <c r="T296" s="610"/>
      <c r="U296" s="610"/>
      <c r="V296" s="610"/>
      <c r="W296" s="610"/>
      <c r="X296" s="610"/>
      <c r="Y296" s="610"/>
      <c r="Z296" s="642"/>
      <c r="AA296" s="77"/>
      <c r="AB296" s="240"/>
    </row>
    <row r="297" spans="1:28" ht="13.5" customHeight="1">
      <c r="A297" s="6"/>
      <c r="B297" s="131"/>
      <c r="C297" s="611"/>
      <c r="D297" s="611"/>
      <c r="E297" s="610"/>
      <c r="F297" s="610"/>
      <c r="G297" s="610"/>
      <c r="H297" s="610"/>
      <c r="I297" s="610"/>
      <c r="J297" s="610"/>
      <c r="K297" s="610"/>
      <c r="L297" s="610"/>
      <c r="M297" s="610"/>
      <c r="N297" s="610"/>
      <c r="O297" s="610"/>
      <c r="P297" s="610"/>
      <c r="Q297" s="610"/>
      <c r="R297" s="610"/>
      <c r="S297" s="610"/>
      <c r="T297" s="610"/>
      <c r="U297" s="610"/>
      <c r="V297" s="610"/>
      <c r="W297" s="610"/>
      <c r="X297" s="610"/>
      <c r="Y297" s="610"/>
      <c r="Z297" s="642"/>
      <c r="AA297" s="77"/>
      <c r="AB297" s="240"/>
    </row>
    <row r="298" spans="1:28" ht="13.5" customHeight="1" thickBot="1">
      <c r="A298" s="6"/>
      <c r="B298" s="131"/>
      <c r="C298" s="610" t="s">
        <v>777</v>
      </c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  <c r="P298" s="610"/>
      <c r="Q298" s="610"/>
      <c r="R298" s="610"/>
      <c r="S298" s="610"/>
      <c r="T298" s="610"/>
      <c r="U298" s="610"/>
      <c r="V298" s="610"/>
      <c r="W298" s="610"/>
      <c r="X298" s="610"/>
      <c r="Y298" s="610"/>
      <c r="Z298" s="610"/>
      <c r="AA298" s="77"/>
      <c r="AB298" s="240"/>
    </row>
    <row r="299" spans="1:28" ht="20.25" customHeight="1">
      <c r="A299" s="6"/>
      <c r="B299" s="131"/>
      <c r="C299" s="1018" t="s">
        <v>778</v>
      </c>
      <c r="D299" s="903"/>
      <c r="E299" s="903"/>
      <c r="F299" s="903"/>
      <c r="G299" s="903"/>
      <c r="H299" s="903"/>
      <c r="I299" s="903"/>
      <c r="J299" s="903"/>
      <c r="K299" s="903"/>
      <c r="L299" s="903"/>
      <c r="M299" s="903" t="s">
        <v>779</v>
      </c>
      <c r="N299" s="903"/>
      <c r="O299" s="903"/>
      <c r="P299" s="903"/>
      <c r="Q299" s="900" t="s">
        <v>780</v>
      </c>
      <c r="R299" s="900"/>
      <c r="S299" s="900"/>
      <c r="T299" s="900"/>
      <c r="U299" s="900"/>
      <c r="V299" s="900"/>
      <c r="W299" s="900"/>
      <c r="X299" s="900"/>
      <c r="Y299" s="900"/>
      <c r="Z299" s="904"/>
      <c r="AA299" s="77"/>
      <c r="AB299" s="240"/>
    </row>
    <row r="300" spans="1:28" ht="20.25" customHeight="1" thickBot="1">
      <c r="A300" s="6"/>
      <c r="B300" s="131"/>
      <c r="C300" s="993"/>
      <c r="D300" s="994"/>
      <c r="E300" s="994"/>
      <c r="F300" s="994"/>
      <c r="G300" s="994"/>
      <c r="H300" s="994"/>
      <c r="I300" s="994"/>
      <c r="J300" s="994"/>
      <c r="K300" s="994"/>
      <c r="L300" s="994"/>
      <c r="M300" s="994"/>
      <c r="N300" s="994"/>
      <c r="O300" s="994"/>
      <c r="P300" s="994"/>
      <c r="Q300" s="905" t="s">
        <v>781</v>
      </c>
      <c r="R300" s="1019"/>
      <c r="S300" s="1019"/>
      <c r="T300" s="1019"/>
      <c r="U300" s="1019"/>
      <c r="V300" s="1019"/>
      <c r="W300" s="901"/>
      <c r="X300" s="902" t="s">
        <v>782</v>
      </c>
      <c r="Y300" s="902"/>
      <c r="Z300" s="905"/>
      <c r="AA300" s="77"/>
      <c r="AB300" s="240"/>
    </row>
    <row r="301" spans="1:28" ht="20.25" customHeight="1" thickTop="1">
      <c r="A301" s="6"/>
      <c r="B301" s="131"/>
      <c r="C301" s="1020" t="s">
        <v>783</v>
      </c>
      <c r="D301" s="1020"/>
      <c r="E301" s="1020"/>
      <c r="F301" s="1020"/>
      <c r="G301" s="1020"/>
      <c r="H301" s="1020"/>
      <c r="I301" s="1020"/>
      <c r="J301" s="1020"/>
      <c r="K301" s="1020"/>
      <c r="L301" s="1021"/>
      <c r="M301" s="1026" t="s">
        <v>784</v>
      </c>
      <c r="N301" s="1020"/>
      <c r="O301" s="1020"/>
      <c r="P301" s="1021"/>
      <c r="Q301" s="1029">
        <v>800</v>
      </c>
      <c r="R301" s="1030"/>
      <c r="S301" s="1030"/>
      <c r="T301" s="1031" t="s">
        <v>785</v>
      </c>
      <c r="U301" s="1030">
        <v>1200</v>
      </c>
      <c r="V301" s="1030"/>
      <c r="W301" s="1032"/>
      <c r="X301" s="1029">
        <v>1000</v>
      </c>
      <c r="Y301" s="1030"/>
      <c r="Z301" s="1030"/>
      <c r="AA301" s="77"/>
      <c r="AB301" s="240"/>
    </row>
    <row r="302" spans="1:28" ht="20.25" customHeight="1">
      <c r="A302" s="6"/>
      <c r="B302" s="131"/>
      <c r="C302" s="1022"/>
      <c r="D302" s="1022"/>
      <c r="E302" s="1022"/>
      <c r="F302" s="1022"/>
      <c r="G302" s="1022"/>
      <c r="H302" s="1022"/>
      <c r="I302" s="1022"/>
      <c r="J302" s="1022"/>
      <c r="K302" s="1022"/>
      <c r="L302" s="1023"/>
      <c r="M302" s="1027"/>
      <c r="N302" s="1022"/>
      <c r="O302" s="1022"/>
      <c r="P302" s="1023"/>
      <c r="Q302" s="1006"/>
      <c r="R302" s="1007"/>
      <c r="S302" s="1007"/>
      <c r="T302" s="848"/>
      <c r="U302" s="1007"/>
      <c r="V302" s="1007"/>
      <c r="W302" s="1033"/>
      <c r="X302" s="1006"/>
      <c r="Y302" s="1007"/>
      <c r="Z302" s="1007"/>
      <c r="AA302" s="77"/>
      <c r="AB302" s="240"/>
    </row>
    <row r="303" spans="1:28" ht="20.25" customHeight="1">
      <c r="A303" s="6"/>
      <c r="B303" s="131"/>
      <c r="C303" s="1024"/>
      <c r="D303" s="1024"/>
      <c r="E303" s="1024"/>
      <c r="F303" s="1024"/>
      <c r="G303" s="1024"/>
      <c r="H303" s="1024"/>
      <c r="I303" s="1024"/>
      <c r="J303" s="1024"/>
      <c r="K303" s="1024"/>
      <c r="L303" s="1025"/>
      <c r="M303" s="1028"/>
      <c r="N303" s="1024"/>
      <c r="O303" s="1024"/>
      <c r="P303" s="1025"/>
      <c r="Q303" s="930"/>
      <c r="R303" s="931"/>
      <c r="S303" s="931"/>
      <c r="T303" s="1009"/>
      <c r="U303" s="931"/>
      <c r="V303" s="931"/>
      <c r="W303" s="1034"/>
      <c r="X303" s="930"/>
      <c r="Y303" s="931"/>
      <c r="Z303" s="931"/>
      <c r="AA303" s="77"/>
      <c r="AB303" s="240"/>
    </row>
    <row r="304" spans="1:28" ht="20.25" customHeight="1">
      <c r="A304" s="6"/>
      <c r="B304" s="131"/>
      <c r="C304" s="977" t="s">
        <v>786</v>
      </c>
      <c r="D304" s="999"/>
      <c r="E304" s="999"/>
      <c r="F304" s="999"/>
      <c r="G304" s="999"/>
      <c r="H304" s="999"/>
      <c r="I304" s="999"/>
      <c r="J304" s="999"/>
      <c r="K304" s="999"/>
      <c r="L304" s="1000"/>
      <c r="M304" s="1001" t="s">
        <v>787</v>
      </c>
      <c r="N304" s="1002"/>
      <c r="O304" s="1002"/>
      <c r="P304" s="1002"/>
      <c r="Q304" s="1003">
        <v>600</v>
      </c>
      <c r="R304" s="1004"/>
      <c r="S304" s="1004"/>
      <c r="T304" s="626" t="s">
        <v>785</v>
      </c>
      <c r="U304" s="1004">
        <v>1000</v>
      </c>
      <c r="V304" s="1004"/>
      <c r="W304" s="1004"/>
      <c r="X304" s="1003">
        <v>700</v>
      </c>
      <c r="Y304" s="1004"/>
      <c r="Z304" s="1004"/>
      <c r="AA304" s="77"/>
      <c r="AB304" s="240"/>
    </row>
    <row r="305" spans="1:28" ht="20.25" customHeight="1">
      <c r="A305" s="6"/>
      <c r="B305" s="131"/>
      <c r="C305" s="977"/>
      <c r="D305" s="999"/>
      <c r="E305" s="999"/>
      <c r="F305" s="999"/>
      <c r="G305" s="999"/>
      <c r="H305" s="999"/>
      <c r="I305" s="999"/>
      <c r="J305" s="999"/>
      <c r="K305" s="999"/>
      <c r="L305" s="1000"/>
      <c r="M305" s="1005" t="s">
        <v>788</v>
      </c>
      <c r="N305" s="848"/>
      <c r="O305" s="848"/>
      <c r="P305" s="848"/>
      <c r="Q305" s="1006">
        <v>400</v>
      </c>
      <c r="R305" s="1007"/>
      <c r="S305" s="1007"/>
      <c r="T305" s="611" t="s">
        <v>785</v>
      </c>
      <c r="U305" s="1007">
        <v>700</v>
      </c>
      <c r="V305" s="1007"/>
      <c r="W305" s="1007"/>
      <c r="X305" s="1006">
        <v>500</v>
      </c>
      <c r="Y305" s="1007"/>
      <c r="Z305" s="1007"/>
      <c r="AA305" s="77"/>
      <c r="AB305" s="240"/>
    </row>
    <row r="306" spans="1:28" ht="20.25" customHeight="1">
      <c r="A306" s="6"/>
      <c r="B306" s="131"/>
      <c r="C306" s="977"/>
      <c r="D306" s="999"/>
      <c r="E306" s="999"/>
      <c r="F306" s="999"/>
      <c r="G306" s="999"/>
      <c r="H306" s="999"/>
      <c r="I306" s="999"/>
      <c r="J306" s="999"/>
      <c r="K306" s="999"/>
      <c r="L306" s="1000"/>
      <c r="M306" s="1008" t="s">
        <v>789</v>
      </c>
      <c r="N306" s="1009"/>
      <c r="O306" s="1009"/>
      <c r="P306" s="1009"/>
      <c r="Q306" s="930">
        <v>200</v>
      </c>
      <c r="R306" s="931"/>
      <c r="S306" s="931"/>
      <c r="T306" s="619" t="s">
        <v>785</v>
      </c>
      <c r="U306" s="931">
        <v>600</v>
      </c>
      <c r="V306" s="931"/>
      <c r="W306" s="931"/>
      <c r="X306" s="930">
        <v>300</v>
      </c>
      <c r="Y306" s="931"/>
      <c r="Z306" s="931"/>
      <c r="AA306" s="77"/>
      <c r="AB306" s="240"/>
    </row>
    <row r="307" spans="1:28" ht="20.25" customHeight="1">
      <c r="A307" s="6"/>
      <c r="B307" s="131"/>
      <c r="C307" s="977" t="s">
        <v>790</v>
      </c>
      <c r="D307" s="999"/>
      <c r="E307" s="999"/>
      <c r="F307" s="999"/>
      <c r="G307" s="999"/>
      <c r="H307" s="999"/>
      <c r="I307" s="999"/>
      <c r="J307" s="999"/>
      <c r="K307" s="999"/>
      <c r="L307" s="1000"/>
      <c r="M307" s="1001" t="s">
        <v>787</v>
      </c>
      <c r="N307" s="1002"/>
      <c r="O307" s="1002"/>
      <c r="P307" s="1002"/>
      <c r="Q307" s="1003">
        <v>400</v>
      </c>
      <c r="R307" s="1004"/>
      <c r="S307" s="1004"/>
      <c r="T307" s="626" t="s">
        <v>785</v>
      </c>
      <c r="U307" s="1004">
        <v>600</v>
      </c>
      <c r="V307" s="1004"/>
      <c r="W307" s="1004"/>
      <c r="X307" s="1003">
        <v>400</v>
      </c>
      <c r="Y307" s="1004"/>
      <c r="Z307" s="1004"/>
      <c r="AA307" s="77"/>
      <c r="AB307" s="240"/>
    </row>
    <row r="308" spans="1:28" ht="20.25" customHeight="1">
      <c r="A308" s="6"/>
      <c r="B308" s="131"/>
      <c r="C308" s="977"/>
      <c r="D308" s="999"/>
      <c r="E308" s="999"/>
      <c r="F308" s="999"/>
      <c r="G308" s="999"/>
      <c r="H308" s="999"/>
      <c r="I308" s="999"/>
      <c r="J308" s="999"/>
      <c r="K308" s="999"/>
      <c r="L308" s="1000"/>
      <c r="M308" s="1005" t="s">
        <v>788</v>
      </c>
      <c r="N308" s="848"/>
      <c r="O308" s="848"/>
      <c r="P308" s="848"/>
      <c r="Q308" s="1006">
        <v>200</v>
      </c>
      <c r="R308" s="1007"/>
      <c r="S308" s="1007"/>
      <c r="T308" s="611" t="s">
        <v>785</v>
      </c>
      <c r="U308" s="1007">
        <v>400</v>
      </c>
      <c r="V308" s="1007"/>
      <c r="W308" s="1007"/>
      <c r="X308" s="1006">
        <v>300</v>
      </c>
      <c r="Y308" s="1007"/>
      <c r="Z308" s="1007"/>
      <c r="AA308" s="77"/>
      <c r="AB308" s="240"/>
    </row>
    <row r="309" spans="1:28" ht="20.25" customHeight="1">
      <c r="A309" s="6"/>
      <c r="B309" s="131"/>
      <c r="C309" s="977"/>
      <c r="D309" s="999"/>
      <c r="E309" s="999"/>
      <c r="F309" s="999"/>
      <c r="G309" s="999"/>
      <c r="H309" s="999"/>
      <c r="I309" s="999"/>
      <c r="J309" s="999"/>
      <c r="K309" s="999"/>
      <c r="L309" s="1000"/>
      <c r="M309" s="1008" t="s">
        <v>789</v>
      </c>
      <c r="N309" s="1009"/>
      <c r="O309" s="1009"/>
      <c r="P309" s="1009"/>
      <c r="Q309" s="930">
        <v>100</v>
      </c>
      <c r="R309" s="931"/>
      <c r="S309" s="931"/>
      <c r="T309" s="619" t="s">
        <v>785</v>
      </c>
      <c r="U309" s="931">
        <v>300</v>
      </c>
      <c r="V309" s="931"/>
      <c r="W309" s="931"/>
      <c r="X309" s="930">
        <v>150</v>
      </c>
      <c r="Y309" s="931"/>
      <c r="Z309" s="931"/>
      <c r="AA309" s="77"/>
      <c r="AB309" s="240"/>
    </row>
    <row r="310" spans="1:28" ht="20.25" customHeight="1">
      <c r="A310" s="6"/>
      <c r="B310" s="131"/>
      <c r="C310" s="977" t="s">
        <v>791</v>
      </c>
      <c r="D310" s="999"/>
      <c r="E310" s="999"/>
      <c r="F310" s="999"/>
      <c r="G310" s="999"/>
      <c r="H310" s="999"/>
      <c r="I310" s="999"/>
      <c r="J310" s="999"/>
      <c r="K310" s="999"/>
      <c r="L310" s="1000"/>
      <c r="M310" s="1001" t="s">
        <v>787</v>
      </c>
      <c r="N310" s="1002"/>
      <c r="O310" s="1002"/>
      <c r="P310" s="1002"/>
      <c r="Q310" s="1003">
        <v>300</v>
      </c>
      <c r="R310" s="1004"/>
      <c r="S310" s="1004"/>
      <c r="T310" s="626" t="s">
        <v>785</v>
      </c>
      <c r="U310" s="1004">
        <v>500</v>
      </c>
      <c r="V310" s="1004"/>
      <c r="W310" s="1004"/>
      <c r="X310" s="1003">
        <v>300</v>
      </c>
      <c r="Y310" s="1004"/>
      <c r="Z310" s="1004"/>
      <c r="AA310" s="77"/>
      <c r="AB310" s="240"/>
    </row>
    <row r="311" spans="1:28" ht="20.25" customHeight="1">
      <c r="A311" s="6"/>
      <c r="B311" s="131"/>
      <c r="C311" s="977"/>
      <c r="D311" s="999"/>
      <c r="E311" s="999"/>
      <c r="F311" s="999"/>
      <c r="G311" s="999"/>
      <c r="H311" s="999"/>
      <c r="I311" s="999"/>
      <c r="J311" s="999"/>
      <c r="K311" s="999"/>
      <c r="L311" s="1000"/>
      <c r="M311" s="1005" t="s">
        <v>788</v>
      </c>
      <c r="N311" s="848"/>
      <c r="O311" s="848"/>
      <c r="P311" s="848"/>
      <c r="Q311" s="1006">
        <v>200</v>
      </c>
      <c r="R311" s="1007"/>
      <c r="S311" s="1007"/>
      <c r="T311" s="611" t="s">
        <v>785</v>
      </c>
      <c r="U311" s="1007">
        <v>400</v>
      </c>
      <c r="V311" s="1007"/>
      <c r="W311" s="1007"/>
      <c r="X311" s="1006">
        <v>250</v>
      </c>
      <c r="Y311" s="1007"/>
      <c r="Z311" s="1007"/>
      <c r="AA311" s="77"/>
      <c r="AB311" s="240"/>
    </row>
    <row r="312" spans="1:28" ht="20.25" customHeight="1">
      <c r="A312" s="6"/>
      <c r="B312" s="131"/>
      <c r="C312" s="977"/>
      <c r="D312" s="999"/>
      <c r="E312" s="999"/>
      <c r="F312" s="999"/>
      <c r="G312" s="999"/>
      <c r="H312" s="999"/>
      <c r="I312" s="999"/>
      <c r="J312" s="999"/>
      <c r="K312" s="999"/>
      <c r="L312" s="1000"/>
      <c r="M312" s="1008" t="s">
        <v>789</v>
      </c>
      <c r="N312" s="1009"/>
      <c r="O312" s="1009"/>
      <c r="P312" s="1009"/>
      <c r="Q312" s="930">
        <v>100</v>
      </c>
      <c r="R312" s="931"/>
      <c r="S312" s="931"/>
      <c r="T312" s="619" t="s">
        <v>785</v>
      </c>
      <c r="U312" s="931">
        <v>300</v>
      </c>
      <c r="V312" s="931"/>
      <c r="W312" s="931"/>
      <c r="X312" s="930">
        <v>150</v>
      </c>
      <c r="Y312" s="931"/>
      <c r="Z312" s="931"/>
      <c r="AA312" s="77"/>
      <c r="AB312" s="240"/>
    </row>
    <row r="313" spans="1:28" ht="20.25" customHeight="1">
      <c r="A313" s="6"/>
      <c r="B313" s="131"/>
      <c r="C313" s="977" t="s">
        <v>792</v>
      </c>
      <c r="D313" s="999"/>
      <c r="E313" s="999"/>
      <c r="F313" s="999"/>
      <c r="G313" s="999"/>
      <c r="H313" s="999"/>
      <c r="I313" s="999"/>
      <c r="J313" s="999"/>
      <c r="K313" s="999"/>
      <c r="L313" s="1000"/>
      <c r="M313" s="1001" t="s">
        <v>793</v>
      </c>
      <c r="N313" s="1002"/>
      <c r="O313" s="1002"/>
      <c r="P313" s="1002"/>
      <c r="Q313" s="1003">
        <v>300</v>
      </c>
      <c r="R313" s="1004"/>
      <c r="S313" s="1004"/>
      <c r="T313" s="626" t="s">
        <v>785</v>
      </c>
      <c r="U313" s="1004">
        <v>600</v>
      </c>
      <c r="V313" s="1004"/>
      <c r="W313" s="1004"/>
      <c r="X313" s="1003">
        <v>400</v>
      </c>
      <c r="Y313" s="1004"/>
      <c r="Z313" s="1004"/>
      <c r="AA313" s="77"/>
      <c r="AB313" s="240"/>
    </row>
    <row r="314" spans="1:28" ht="20.25" customHeight="1">
      <c r="A314" s="6"/>
      <c r="B314" s="131"/>
      <c r="C314" s="977"/>
      <c r="D314" s="999"/>
      <c r="E314" s="999"/>
      <c r="F314" s="999"/>
      <c r="G314" s="999"/>
      <c r="H314" s="999"/>
      <c r="I314" s="999"/>
      <c r="J314" s="999"/>
      <c r="K314" s="999"/>
      <c r="L314" s="1000"/>
      <c r="M314" s="1005" t="s">
        <v>794</v>
      </c>
      <c r="N314" s="848"/>
      <c r="O314" s="848"/>
      <c r="P314" s="848"/>
      <c r="Q314" s="1006">
        <v>100</v>
      </c>
      <c r="R314" s="1007"/>
      <c r="S314" s="1007"/>
      <c r="T314" s="611" t="s">
        <v>785</v>
      </c>
      <c r="U314" s="1007">
        <v>300</v>
      </c>
      <c r="V314" s="1007"/>
      <c r="W314" s="1007"/>
      <c r="X314" s="1006">
        <v>200</v>
      </c>
      <c r="Y314" s="1007"/>
      <c r="Z314" s="1007"/>
      <c r="AA314" s="77"/>
      <c r="AB314" s="240"/>
    </row>
    <row r="315" spans="1:28" ht="20.25" customHeight="1">
      <c r="A315" s="6"/>
      <c r="B315" s="131"/>
      <c r="C315" s="977"/>
      <c r="D315" s="999"/>
      <c r="E315" s="999"/>
      <c r="F315" s="999"/>
      <c r="G315" s="999"/>
      <c r="H315" s="999"/>
      <c r="I315" s="999"/>
      <c r="J315" s="999"/>
      <c r="K315" s="999"/>
      <c r="L315" s="1000"/>
      <c r="M315" s="1008" t="s">
        <v>795</v>
      </c>
      <c r="N315" s="1009"/>
      <c r="O315" s="1009"/>
      <c r="P315" s="1009"/>
      <c r="Q315" s="930">
        <v>50</v>
      </c>
      <c r="R315" s="931"/>
      <c r="S315" s="931"/>
      <c r="T315" s="619" t="s">
        <v>785</v>
      </c>
      <c r="U315" s="931">
        <v>100</v>
      </c>
      <c r="V315" s="931"/>
      <c r="W315" s="931"/>
      <c r="X315" s="930">
        <v>50</v>
      </c>
      <c r="Y315" s="931"/>
      <c r="Z315" s="931"/>
      <c r="AA315" s="77"/>
      <c r="AB315" s="240"/>
    </row>
    <row r="316" spans="1:28" ht="20.25" customHeight="1">
      <c r="A316" s="6"/>
      <c r="B316" s="131"/>
      <c r="C316" s="977" t="s">
        <v>796</v>
      </c>
      <c r="D316" s="999"/>
      <c r="E316" s="999"/>
      <c r="F316" s="999"/>
      <c r="G316" s="999"/>
      <c r="H316" s="999"/>
      <c r="I316" s="999"/>
      <c r="J316" s="999"/>
      <c r="K316" s="999"/>
      <c r="L316" s="1000"/>
      <c r="M316" s="1001" t="s">
        <v>797</v>
      </c>
      <c r="N316" s="1002"/>
      <c r="O316" s="1002"/>
      <c r="P316" s="1002"/>
      <c r="Q316" s="1003">
        <v>200</v>
      </c>
      <c r="R316" s="1004"/>
      <c r="S316" s="1004"/>
      <c r="T316" s="626" t="s">
        <v>785</v>
      </c>
      <c r="U316" s="1004">
        <v>400</v>
      </c>
      <c r="V316" s="1004"/>
      <c r="W316" s="1004"/>
      <c r="X316" s="1003">
        <v>300</v>
      </c>
      <c r="Y316" s="1004"/>
      <c r="Z316" s="1004"/>
      <c r="AA316" s="77"/>
      <c r="AB316" s="240"/>
    </row>
    <row r="317" spans="1:28" ht="20.25" customHeight="1">
      <c r="A317" s="6"/>
      <c r="B317" s="131"/>
      <c r="C317" s="1010"/>
      <c r="D317" s="1011"/>
      <c r="E317" s="1011"/>
      <c r="F317" s="1011"/>
      <c r="G317" s="1011"/>
      <c r="H317" s="1011"/>
      <c r="I317" s="1011"/>
      <c r="J317" s="1011"/>
      <c r="K317" s="1011"/>
      <c r="L317" s="1012"/>
      <c r="M317" s="1005" t="s">
        <v>794</v>
      </c>
      <c r="N317" s="848"/>
      <c r="O317" s="848"/>
      <c r="P317" s="848"/>
      <c r="Q317" s="1006">
        <v>100</v>
      </c>
      <c r="R317" s="1007"/>
      <c r="S317" s="1007"/>
      <c r="T317" s="611" t="s">
        <v>785</v>
      </c>
      <c r="U317" s="1007">
        <v>300</v>
      </c>
      <c r="V317" s="1007"/>
      <c r="W317" s="1007"/>
      <c r="X317" s="1006">
        <v>150</v>
      </c>
      <c r="Y317" s="1007"/>
      <c r="Z317" s="1007"/>
      <c r="AA317" s="77"/>
      <c r="AB317" s="240"/>
    </row>
    <row r="318" spans="1:28" ht="20.25" customHeight="1" thickBot="1">
      <c r="A318" s="6"/>
      <c r="B318" s="131"/>
      <c r="C318" s="1013"/>
      <c r="D318" s="1014"/>
      <c r="E318" s="1014"/>
      <c r="F318" s="1014"/>
      <c r="G318" s="1014"/>
      <c r="H318" s="1014"/>
      <c r="I318" s="1014"/>
      <c r="J318" s="1014"/>
      <c r="K318" s="1014"/>
      <c r="L318" s="1015"/>
      <c r="M318" s="1513" t="s">
        <v>798</v>
      </c>
      <c r="N318" s="1514"/>
      <c r="O318" s="1514"/>
      <c r="P318" s="1514"/>
      <c r="Q318" s="1515">
        <v>50</v>
      </c>
      <c r="R318" s="1516"/>
      <c r="S318" s="1516"/>
      <c r="T318" s="712" t="s">
        <v>785</v>
      </c>
      <c r="U318" s="1516">
        <v>100</v>
      </c>
      <c r="V318" s="1516"/>
      <c r="W318" s="1516"/>
      <c r="X318" s="1515">
        <v>50</v>
      </c>
      <c r="Y318" s="1516"/>
      <c r="Z318" s="1516"/>
      <c r="AA318" s="77"/>
      <c r="AB318" s="240"/>
    </row>
    <row r="319" spans="1:28" ht="13.5" customHeight="1">
      <c r="A319" s="6"/>
      <c r="B319" s="131"/>
      <c r="C319" s="1548" t="s">
        <v>799</v>
      </c>
      <c r="D319" s="1548"/>
      <c r="E319" s="1548"/>
      <c r="F319" s="1548"/>
      <c r="G319" s="1548"/>
      <c r="H319" s="1548"/>
      <c r="I319" s="1548"/>
      <c r="J319" s="1548"/>
      <c r="K319" s="1548"/>
      <c r="L319" s="1548"/>
      <c r="M319" s="1548"/>
      <c r="N319" s="1548"/>
      <c r="O319" s="1548"/>
      <c r="P319" s="1548"/>
      <c r="Q319" s="1548"/>
      <c r="R319" s="1548"/>
      <c r="S319" s="1548"/>
      <c r="T319" s="1548"/>
      <c r="U319" s="1548"/>
      <c r="V319" s="1548"/>
      <c r="W319" s="1548"/>
      <c r="X319" s="1548"/>
      <c r="Y319" s="1548"/>
      <c r="Z319" s="1548"/>
      <c r="AA319" s="77"/>
      <c r="AB319" s="240"/>
    </row>
    <row r="320" spans="1:28" ht="13.5" customHeight="1">
      <c r="A320" s="6"/>
      <c r="B320" s="131"/>
      <c r="C320" s="1549"/>
      <c r="D320" s="1549"/>
      <c r="E320" s="1549"/>
      <c r="F320" s="1549"/>
      <c r="G320" s="1549"/>
      <c r="H320" s="1549"/>
      <c r="I320" s="1549"/>
      <c r="J320" s="1549"/>
      <c r="K320" s="1549"/>
      <c r="L320" s="1549"/>
      <c r="M320" s="1549"/>
      <c r="N320" s="1549"/>
      <c r="O320" s="1549"/>
      <c r="P320" s="1549"/>
      <c r="Q320" s="1549"/>
      <c r="R320" s="1549"/>
      <c r="S320" s="1549"/>
      <c r="T320" s="1549"/>
      <c r="U320" s="1549"/>
      <c r="V320" s="1549"/>
      <c r="W320" s="1549"/>
      <c r="X320" s="1549"/>
      <c r="Y320" s="1549"/>
      <c r="Z320" s="1549"/>
      <c r="AA320" s="77"/>
      <c r="AB320" s="240"/>
    </row>
    <row r="321" spans="1:38" ht="13.5" customHeight="1">
      <c r="A321" s="6"/>
      <c r="B321" s="131"/>
      <c r="C321" s="1549"/>
      <c r="D321" s="1549"/>
      <c r="E321" s="1549"/>
      <c r="F321" s="1549"/>
      <c r="G321" s="1549"/>
      <c r="H321" s="1549"/>
      <c r="I321" s="1549"/>
      <c r="J321" s="1549"/>
      <c r="K321" s="1549"/>
      <c r="L321" s="1549"/>
      <c r="M321" s="1549"/>
      <c r="N321" s="1549"/>
      <c r="O321" s="1549"/>
      <c r="P321" s="1549"/>
      <c r="Q321" s="1549"/>
      <c r="R321" s="1549"/>
      <c r="S321" s="1549"/>
      <c r="T321" s="1549"/>
      <c r="U321" s="1549"/>
      <c r="V321" s="1549"/>
      <c r="W321" s="1549"/>
      <c r="X321" s="1549"/>
      <c r="Y321" s="1549"/>
      <c r="Z321" s="1549"/>
      <c r="AA321" s="77"/>
      <c r="AB321" s="240"/>
    </row>
    <row r="322" spans="1:38" ht="13.5" customHeight="1">
      <c r="A322" s="6"/>
      <c r="B322" s="131"/>
      <c r="C322" s="610" t="s">
        <v>800</v>
      </c>
      <c r="D322" s="610" t="s">
        <v>801</v>
      </c>
      <c r="E322" s="713"/>
      <c r="F322" s="713"/>
      <c r="G322" s="713"/>
      <c r="H322" s="713"/>
      <c r="I322" s="713"/>
      <c r="J322" s="611" t="s">
        <v>802</v>
      </c>
      <c r="K322" s="1553" t="str">
        <f>+IF((J237+0.5*F5)&lt;F14,B14,IF((J237+0.5*F5)&lt;F15,B15,IF((J237+0.5*F5)&lt;F16,B16,IF((J237+0.5*F5)&lt;F17,B17,B18))))</f>
        <v>매립층</v>
      </c>
      <c r="L322" s="1553"/>
      <c r="M322" s="1553"/>
      <c r="N322" s="1022" t="str">
        <f>+VLOOKUP(K322,$B$14:$AC$17,28,FALSE)</f>
        <v>SM</v>
      </c>
      <c r="O322" s="1022"/>
      <c r="P322" s="610"/>
      <c r="Q322" s="713"/>
      <c r="R322" s="713"/>
      <c r="S322" s="610"/>
      <c r="T322" s="610"/>
      <c r="U322" s="713"/>
      <c r="V322" s="713"/>
      <c r="W322" s="713"/>
      <c r="X322" s="713"/>
      <c r="Y322" s="713"/>
      <c r="Z322" s="713"/>
      <c r="AA322" s="77"/>
      <c r="AB322" s="240"/>
    </row>
    <row r="323" spans="1:38" ht="13.5" customHeight="1">
      <c r="A323" s="6"/>
      <c r="B323" s="131"/>
      <c r="C323" s="610" t="s">
        <v>800</v>
      </c>
      <c r="D323" s="610" t="s">
        <v>803</v>
      </c>
      <c r="E323" s="713"/>
      <c r="F323" s="713"/>
      <c r="G323" s="713"/>
      <c r="H323" s="713"/>
      <c r="I323" s="713"/>
      <c r="J323" s="611" t="s">
        <v>802</v>
      </c>
      <c r="K323" s="1017">
        <v>5</v>
      </c>
      <c r="L323" s="1017"/>
      <c r="M323" s="1017"/>
      <c r="N323" s="713"/>
      <c r="O323" s="713"/>
      <c r="P323" s="713"/>
      <c r="Q323" s="713"/>
      <c r="R323" s="713"/>
      <c r="S323" s="713"/>
      <c r="T323" s="713"/>
      <c r="U323" s="713"/>
      <c r="V323" s="713"/>
      <c r="W323" s="713"/>
      <c r="X323" s="713"/>
      <c r="Y323" s="713"/>
      <c r="Z323" s="713"/>
      <c r="AA323" s="77"/>
      <c r="AB323" s="240"/>
      <c r="AD323" s="172" t="s">
        <v>827</v>
      </c>
    </row>
    <row r="324" spans="1:38" ht="13.5" customHeight="1">
      <c r="A324" s="6"/>
      <c r="B324" s="131"/>
      <c r="C324" s="610" t="s">
        <v>800</v>
      </c>
      <c r="D324" s="610" t="s">
        <v>804</v>
      </c>
      <c r="E324" s="610"/>
      <c r="F324" s="610"/>
      <c r="G324" s="610"/>
      <c r="H324" s="610"/>
      <c r="I324" s="610"/>
      <c r="J324" s="611" t="s">
        <v>802</v>
      </c>
      <c r="K324" s="1509">
        <f>IF(N322="WR", 1000,  IF(AND(OR(N322="GW",N322="GC"), 30&lt;K323), 1000,  IF(AND(OR(N322="GW", N322="GP", N322="GC"), 30&lt;K323), 700,  IF(AND(OR(N322="GW", N322="GP", N322="GC"), AND(10&lt;K323, K323&lt;=30)), 500,  IF(AND(OR(N322="GW", N322="GP", N322="GC"), K323&lt;=10), 300,  IF(AND(OR(N322="SW", N322="SP"), 30&lt;K323), 400,  IF(AND(OR(N322="SW", N322="SP"), AND(10&lt;K323, K323&lt;=30)), 300,  IF(AND(OR(N322="SW", N322="SP"), K323&lt;=10), 150,  IF(AND(OR(N322="SM", N322="SC"), 30&lt;K323), 300,  IF(AND(OR(N322="SM", N322="SC"), AND(10&lt;K323, K323&lt;=30)), 250,  IF(AND(OR(N322="SM", N322="SC"), K323&lt;=10), 150,  IF(AND(N322="CL", 10&lt;K323), 400,  IF(AND(N322="CL", AND(6&lt;K323, K323&lt;=10)), 200,  IF(AND(N322="CL", K323&lt;=6), 50,  IF(AND(N322="ML", 10&lt;K323), 300,  IF(AND(N322="ML", AND(6&lt;K323, K323&lt;=10)), 150,  IF(AND(N322="ML", K323&lt;=6), 50,  "NG")))))))))))))))))</f>
        <v>150</v>
      </c>
      <c r="L324" s="1509"/>
      <c r="M324" s="1509"/>
      <c r="N324" s="610" t="s">
        <v>624</v>
      </c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77"/>
      <c r="AB324" s="240"/>
    </row>
    <row r="325" spans="1:38" ht="13.5" customHeight="1">
      <c r="A325" s="6"/>
      <c r="B325" s="131"/>
      <c r="C325" s="610" t="s">
        <v>800</v>
      </c>
      <c r="D325" s="610" t="s">
        <v>805</v>
      </c>
      <c r="E325" s="610"/>
      <c r="F325" s="610"/>
      <c r="G325" s="610"/>
      <c r="H325" s="610"/>
      <c r="I325" s="610"/>
      <c r="J325" s="611" t="s">
        <v>802</v>
      </c>
      <c r="K325" s="1550">
        <f>+J237</f>
        <v>0.66</v>
      </c>
      <c r="L325" s="1550"/>
      <c r="M325" s="1550"/>
      <c r="N325" s="610" t="s">
        <v>806</v>
      </c>
      <c r="O325" s="610"/>
      <c r="P325" s="610"/>
      <c r="Q325" s="610"/>
      <c r="R325" s="610"/>
      <c r="S325" s="610"/>
      <c r="T325" s="610"/>
      <c r="U325" s="610"/>
      <c r="V325" s="610"/>
      <c r="W325" s="610"/>
      <c r="X325" s="610"/>
      <c r="Y325" s="610"/>
      <c r="Z325" s="610"/>
      <c r="AA325" s="77"/>
      <c r="AB325" s="240"/>
    </row>
    <row r="326" spans="1:38" ht="13.5" customHeight="1">
      <c r="A326" s="6"/>
      <c r="B326" s="131"/>
      <c r="C326" s="610" t="s">
        <v>800</v>
      </c>
      <c r="D326" s="610" t="s">
        <v>807</v>
      </c>
      <c r="E326" s="610"/>
      <c r="F326" s="610"/>
      <c r="G326" s="610"/>
      <c r="H326" s="610"/>
      <c r="I326" s="610"/>
      <c r="J326" s="611" t="s">
        <v>802</v>
      </c>
      <c r="K326" s="1550">
        <f>K325-0</f>
        <v>0.66</v>
      </c>
      <c r="L326" s="1550"/>
      <c r="M326" s="1550"/>
      <c r="N326" s="610" t="s">
        <v>806</v>
      </c>
      <c r="O326" s="610"/>
      <c r="P326" s="610"/>
      <c r="Q326" s="610"/>
      <c r="R326" s="610"/>
      <c r="S326" s="610"/>
      <c r="T326" s="610"/>
      <c r="U326" s="610"/>
      <c r="V326" s="610"/>
      <c r="W326" s="610"/>
      <c r="X326" s="610"/>
      <c r="Y326" s="610"/>
      <c r="Z326" s="610"/>
      <c r="AA326" s="77"/>
      <c r="AB326" s="240"/>
    </row>
    <row r="327" spans="1:38" ht="13.5" customHeight="1">
      <c r="A327" s="6"/>
      <c r="B327" s="131"/>
      <c r="C327" s="610" t="s">
        <v>800</v>
      </c>
      <c r="D327" s="610" t="s">
        <v>808</v>
      </c>
      <c r="E327" s="610"/>
      <c r="F327" s="610"/>
      <c r="G327" s="610"/>
      <c r="H327" s="610"/>
      <c r="I327" s="610"/>
      <c r="J327" s="611"/>
      <c r="K327" s="860"/>
      <c r="L327" s="860"/>
      <c r="M327" s="860"/>
      <c r="N327" s="610"/>
      <c r="O327" s="610"/>
      <c r="P327" s="610"/>
      <c r="Q327" s="610"/>
      <c r="R327" s="610"/>
      <c r="S327" s="610"/>
      <c r="T327" s="610"/>
      <c r="U327" s="610"/>
      <c r="V327" s="610"/>
      <c r="W327" s="610"/>
      <c r="X327" s="610"/>
      <c r="Y327" s="610"/>
      <c r="Z327" s="610"/>
      <c r="AA327" s="77"/>
      <c r="AB327" s="240"/>
    </row>
    <row r="328" spans="1:38" ht="13.5" customHeight="1">
      <c r="A328" s="6"/>
      <c r="B328" s="131"/>
      <c r="C328" s="610"/>
      <c r="D328" s="611" t="s">
        <v>238</v>
      </c>
      <c r="E328" s="862">
        <f>K324</f>
        <v>150</v>
      </c>
      <c r="F328" s="862"/>
      <c r="G328" s="862"/>
      <c r="H328" s="647" t="s">
        <v>723</v>
      </c>
      <c r="I328" s="988">
        <f>K325</f>
        <v>0.66</v>
      </c>
      <c r="J328" s="848"/>
      <c r="K328" s="636" t="s">
        <v>683</v>
      </c>
      <c r="L328" s="860">
        <v>0</v>
      </c>
      <c r="M328" s="860"/>
      <c r="N328" s="646" t="s">
        <v>809</v>
      </c>
      <c r="O328" s="848">
        <v>0.3</v>
      </c>
      <c r="P328" s="848"/>
      <c r="Q328" s="644" t="s">
        <v>249</v>
      </c>
      <c r="R328" s="848">
        <v>0.05</v>
      </c>
      <c r="S328" s="848"/>
      <c r="T328" s="611" t="s">
        <v>601</v>
      </c>
      <c r="U328" s="860">
        <f>ROUND(E328*(I328-L328)/O328*R328,1)</f>
        <v>16.5</v>
      </c>
      <c r="V328" s="860"/>
      <c r="W328" s="860"/>
      <c r="X328" s="610" t="s">
        <v>624</v>
      </c>
      <c r="Y328" s="610"/>
      <c r="Z328" s="610"/>
      <c r="AA328" s="77"/>
      <c r="AB328" s="240"/>
    </row>
    <row r="329" spans="1:38" ht="13.5" customHeight="1">
      <c r="A329" s="6"/>
      <c r="B329" s="131"/>
      <c r="C329" s="610" t="s">
        <v>800</v>
      </c>
      <c r="D329" s="610" t="s">
        <v>810</v>
      </c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0"/>
      <c r="P329" s="610"/>
      <c r="Q329" s="610"/>
      <c r="R329" s="610"/>
      <c r="S329" s="610"/>
      <c r="T329" s="610"/>
      <c r="U329" s="610"/>
      <c r="V329" s="610"/>
      <c r="W329" s="610"/>
      <c r="X329" s="610"/>
      <c r="Y329" s="610"/>
      <c r="Z329" s="610"/>
      <c r="AA329" s="77"/>
      <c r="AB329" s="240"/>
    </row>
    <row r="330" spans="1:38" ht="13.5" customHeight="1">
      <c r="A330" s="6"/>
      <c r="B330" s="131"/>
      <c r="C330" s="610"/>
      <c r="D330" s="611" t="s">
        <v>238</v>
      </c>
      <c r="E330" s="862">
        <f>K324</f>
        <v>150</v>
      </c>
      <c r="F330" s="862"/>
      <c r="G330" s="862"/>
      <c r="H330" s="611" t="s">
        <v>621</v>
      </c>
      <c r="I330" s="862">
        <f>U328</f>
        <v>16.5</v>
      </c>
      <c r="J330" s="862"/>
      <c r="K330" s="862"/>
      <c r="L330" s="611" t="s">
        <v>238</v>
      </c>
      <c r="M330" s="1016">
        <f>ROUND(E330+I330, 1)</f>
        <v>166.5</v>
      </c>
      <c r="N330" s="1016"/>
      <c r="O330" s="1016"/>
      <c r="P330" s="610" t="s">
        <v>624</v>
      </c>
      <c r="Q330" s="610"/>
      <c r="R330" s="631"/>
      <c r="S330" s="631"/>
      <c r="T330" s="611"/>
      <c r="U330" s="636"/>
      <c r="V330" s="636"/>
      <c r="W330" s="636"/>
      <c r="X330" s="610"/>
      <c r="Y330" s="610"/>
      <c r="Z330" s="610"/>
      <c r="AA330" s="77"/>
      <c r="AB330" s="240"/>
    </row>
    <row r="331" spans="1:38" ht="13.5" customHeight="1">
      <c r="A331" s="6"/>
      <c r="B331" s="131"/>
      <c r="C331" s="74"/>
      <c r="D331" s="74"/>
      <c r="E331" s="6"/>
      <c r="F331" s="76"/>
      <c r="G331" s="6"/>
      <c r="H331" s="6"/>
      <c r="I331" s="74"/>
      <c r="J331" s="76"/>
      <c r="K331" s="73"/>
      <c r="L331" s="76"/>
      <c r="M331" s="76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240"/>
    </row>
    <row r="332" spans="1:38" ht="13.5" customHeight="1">
      <c r="A332" s="6"/>
      <c r="B332" s="131"/>
      <c r="C332" s="74"/>
      <c r="D332" s="74"/>
      <c r="E332" s="6"/>
      <c r="F332" s="76"/>
      <c r="G332" s="6"/>
      <c r="H332" s="6"/>
      <c r="I332" s="74"/>
      <c r="J332" s="76"/>
      <c r="K332" s="73"/>
      <c r="L332" s="76"/>
      <c r="M332" s="76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240"/>
    </row>
    <row r="333" spans="1:38" ht="13.5" customHeight="1">
      <c r="A333" s="6"/>
      <c r="B333" s="649" t="s">
        <v>669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610"/>
      <c r="AC333" s="610"/>
      <c r="AD333" s="610"/>
      <c r="AE333" s="610"/>
      <c r="AF333" s="610"/>
      <c r="AG333" s="610"/>
      <c r="AH333" s="610"/>
      <c r="AI333" s="610"/>
      <c r="AJ333" s="610"/>
      <c r="AK333" s="610"/>
      <c r="AL333" s="610"/>
    </row>
    <row r="334" spans="1:38" ht="13.5" customHeight="1">
      <c r="A334" s="6"/>
      <c r="B334" s="77"/>
      <c r="C334" s="77"/>
      <c r="D334" s="76"/>
      <c r="E334" s="638"/>
      <c r="F334" s="638"/>
      <c r="G334" s="76"/>
      <c r="H334" s="220"/>
      <c r="I334" s="220"/>
      <c r="J334" s="76"/>
      <c r="K334" s="639"/>
      <c r="L334" s="639"/>
      <c r="M334" s="639"/>
      <c r="N334" s="76"/>
      <c r="O334" s="640"/>
      <c r="P334" s="640"/>
      <c r="Q334" s="76"/>
      <c r="R334" s="639"/>
      <c r="S334" s="639"/>
      <c r="T334" s="76"/>
      <c r="U334" s="639"/>
      <c r="V334" s="639"/>
      <c r="W334" s="76"/>
      <c r="X334" s="639"/>
      <c r="Y334" s="639"/>
      <c r="Z334" s="639"/>
      <c r="AA334" s="242"/>
      <c r="AB334" s="610"/>
      <c r="AC334" s="610"/>
      <c r="AD334" s="610"/>
      <c r="AE334" s="610"/>
      <c r="AF334" s="610"/>
      <c r="AG334" s="610"/>
      <c r="AH334" s="610"/>
      <c r="AI334" s="610"/>
      <c r="AJ334" s="610"/>
      <c r="AK334" s="610"/>
      <c r="AL334" s="610"/>
    </row>
    <row r="335" spans="1:38" ht="13.5" customHeight="1">
      <c r="A335" s="6"/>
      <c r="B335" s="641" t="s">
        <v>670</v>
      </c>
      <c r="C335" s="609"/>
      <c r="D335" s="610"/>
      <c r="E335" s="610"/>
      <c r="F335" s="610"/>
      <c r="G335" s="610"/>
      <c r="H335" s="610"/>
      <c r="I335" s="610"/>
      <c r="J335" s="610"/>
      <c r="K335" s="610"/>
      <c r="L335" s="610"/>
      <c r="M335" s="610"/>
      <c r="N335" s="610"/>
      <c r="O335" s="610"/>
      <c r="P335" s="610"/>
      <c r="Q335" s="610"/>
      <c r="R335" s="610"/>
      <c r="S335" s="610"/>
      <c r="T335" s="610"/>
      <c r="U335" s="610"/>
      <c r="V335" s="610"/>
      <c r="W335" s="610"/>
      <c r="X335" s="610"/>
      <c r="Y335" s="610"/>
      <c r="Z335" s="642"/>
      <c r="AA335" s="610"/>
      <c r="AB335" s="651"/>
      <c r="AC335" s="651"/>
      <c r="AD335" s="651"/>
      <c r="AE335" s="651"/>
      <c r="AF335" s="651"/>
      <c r="AG335" s="651"/>
      <c r="AH335" s="651"/>
      <c r="AI335" s="651"/>
      <c r="AJ335" s="651"/>
      <c r="AK335" s="651"/>
      <c r="AL335" s="651"/>
    </row>
    <row r="336" spans="1:38" ht="13.5" customHeight="1">
      <c r="A336" s="6"/>
      <c r="B336" s="650"/>
      <c r="C336" s="609" t="s">
        <v>671</v>
      </c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42"/>
      <c r="AA336" s="610"/>
      <c r="AB336" s="610"/>
      <c r="AC336" s="610"/>
      <c r="AD336" s="610"/>
      <c r="AE336" s="610"/>
      <c r="AF336" s="610"/>
      <c r="AG336" s="610"/>
      <c r="AH336" s="610"/>
      <c r="AI336" s="610"/>
      <c r="AJ336" s="610"/>
      <c r="AK336" s="610"/>
      <c r="AL336" s="610"/>
    </row>
    <row r="337" spans="1:38" ht="7.5" customHeight="1">
      <c r="A337" s="6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1"/>
      <c r="AB337" s="610"/>
      <c r="AC337" s="610"/>
      <c r="AD337" s="610"/>
      <c r="AE337" s="610"/>
      <c r="AF337" s="610"/>
      <c r="AG337" s="610"/>
      <c r="AH337" s="610"/>
      <c r="AI337" s="610"/>
      <c r="AJ337" s="610"/>
      <c r="AK337" s="610"/>
      <c r="AL337" s="610"/>
    </row>
    <row r="338" spans="1:38" ht="13.5" customHeight="1">
      <c r="A338" s="6"/>
      <c r="B338" s="610"/>
      <c r="C338" s="848" t="s">
        <v>672</v>
      </c>
      <c r="D338" s="848"/>
      <c r="E338" s="611" t="s">
        <v>601</v>
      </c>
      <c r="F338" s="610" t="s">
        <v>673</v>
      </c>
      <c r="G338" s="610"/>
      <c r="H338" s="610"/>
      <c r="I338" s="610"/>
      <c r="J338" s="610"/>
      <c r="K338" s="610"/>
      <c r="L338" s="610"/>
      <c r="M338" s="610"/>
      <c r="N338" s="610"/>
      <c r="O338" s="610"/>
      <c r="P338" s="610"/>
      <c r="Q338" s="610"/>
      <c r="R338" s="610"/>
      <c r="S338" s="610"/>
      <c r="T338" s="610"/>
      <c r="U338" s="610"/>
      <c r="V338" s="610"/>
      <c r="W338" s="610"/>
      <c r="X338" s="610"/>
      <c r="Y338" s="610"/>
      <c r="Z338" s="610"/>
      <c r="AA338" s="610"/>
      <c r="AB338" s="610"/>
      <c r="AC338" s="610"/>
      <c r="AD338" s="610"/>
      <c r="AE338" s="610"/>
      <c r="AF338" s="610"/>
      <c r="AG338" s="610"/>
      <c r="AH338" s="610"/>
      <c r="AI338" s="610"/>
      <c r="AJ338" s="610"/>
      <c r="AK338" s="610"/>
      <c r="AL338" s="610"/>
    </row>
    <row r="339" spans="1:38" ht="13.5" customHeight="1">
      <c r="A339" s="6"/>
      <c r="B339" s="610"/>
      <c r="C339" s="610" t="s">
        <v>674</v>
      </c>
      <c r="D339" s="610"/>
      <c r="E339" s="610" t="s">
        <v>675</v>
      </c>
      <c r="F339" s="610"/>
      <c r="G339" s="610"/>
      <c r="H339" s="610"/>
      <c r="I339" s="610"/>
      <c r="J339" s="610"/>
      <c r="K339" s="610"/>
      <c r="L339" s="610"/>
      <c r="M339" s="610"/>
      <c r="N339" s="610"/>
      <c r="O339" s="610" t="s">
        <v>694</v>
      </c>
      <c r="P339" s="610"/>
      <c r="Q339" s="610"/>
      <c r="R339" s="610"/>
      <c r="S339" s="610"/>
      <c r="T339" s="610"/>
      <c r="U339" s="848">
        <v>150</v>
      </c>
      <c r="V339" s="848"/>
      <c r="W339" s="662" t="s">
        <v>696</v>
      </c>
      <c r="X339" s="610"/>
      <c r="Y339" s="610"/>
      <c r="Z339" s="610"/>
      <c r="AA339" s="610"/>
      <c r="AB339" s="610"/>
      <c r="AC339" s="610"/>
      <c r="AD339" s="610"/>
      <c r="AE339" s="610"/>
      <c r="AF339" s="610"/>
      <c r="AG339" s="610"/>
      <c r="AH339" s="610"/>
      <c r="AI339" s="610"/>
      <c r="AJ339" s="610"/>
      <c r="AK339" s="610"/>
      <c r="AL339" s="610"/>
    </row>
    <row r="340" spans="1:38" ht="13.5" customHeight="1">
      <c r="A340" s="6"/>
      <c r="B340" s="610"/>
      <c r="C340" s="610"/>
      <c r="D340" s="610"/>
      <c r="E340" s="610" t="s">
        <v>676</v>
      </c>
      <c r="F340" s="610"/>
      <c r="G340" s="610"/>
      <c r="H340" s="610"/>
      <c r="I340" s="610"/>
      <c r="J340" s="610"/>
      <c r="K340" s="610"/>
      <c r="L340" s="610"/>
      <c r="M340" s="610"/>
      <c r="N340" s="610"/>
      <c r="O340" s="610" t="s">
        <v>695</v>
      </c>
      <c r="P340" s="610"/>
      <c r="Q340" s="610"/>
      <c r="R340" s="610"/>
      <c r="S340" s="610"/>
      <c r="T340" s="610"/>
      <c r="U340" s="848">
        <v>75</v>
      </c>
      <c r="V340" s="848"/>
      <c r="W340" s="662" t="s">
        <v>696</v>
      </c>
      <c r="X340" s="610"/>
      <c r="Y340" s="610"/>
      <c r="Z340" s="610"/>
      <c r="AA340" s="610"/>
      <c r="AB340" s="610"/>
      <c r="AC340" s="610"/>
      <c r="AD340" s="610"/>
      <c r="AE340" s="610"/>
      <c r="AF340" s="610"/>
      <c r="AG340" s="610"/>
      <c r="AH340" s="610"/>
      <c r="AI340" s="610"/>
      <c r="AJ340" s="610"/>
      <c r="AK340" s="610"/>
      <c r="AL340" s="610"/>
    </row>
    <row r="341" spans="1:38" ht="13.5" customHeight="1">
      <c r="A341" s="6"/>
      <c r="B341" s="610"/>
      <c r="C341" s="610"/>
      <c r="D341" s="610"/>
      <c r="E341" s="652" t="s">
        <v>677</v>
      </c>
      <c r="F341" s="610"/>
      <c r="G341" s="610"/>
      <c r="H341" s="610"/>
      <c r="I341" s="610"/>
      <c r="J341" s="610"/>
      <c r="K341" s="610"/>
      <c r="L341" s="610"/>
      <c r="M341" s="610"/>
      <c r="N341" s="610"/>
      <c r="O341" s="610"/>
      <c r="P341" s="610"/>
      <c r="Q341" s="610"/>
      <c r="R341" s="610"/>
      <c r="S341" s="610"/>
      <c r="T341" s="610"/>
      <c r="U341" s="610"/>
      <c r="V341" s="610"/>
      <c r="W341" s="610"/>
      <c r="X341" s="610"/>
      <c r="Y341" s="610"/>
      <c r="Z341" s="610"/>
      <c r="AA341" s="610"/>
      <c r="AB341" s="610"/>
      <c r="AC341" s="610"/>
      <c r="AD341" s="610"/>
      <c r="AE341" s="610"/>
      <c r="AF341" s="610"/>
      <c r="AG341" s="610"/>
      <c r="AH341" s="610"/>
      <c r="AI341" s="610"/>
      <c r="AJ341" s="610"/>
      <c r="AK341" s="610"/>
      <c r="AL341" s="610"/>
    </row>
    <row r="342" spans="1:38" ht="13.5" customHeight="1">
      <c r="A342" s="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0"/>
      <c r="P342" s="610"/>
      <c r="Q342" s="610"/>
      <c r="R342" s="610"/>
      <c r="S342" s="610"/>
      <c r="T342" s="610"/>
      <c r="U342" s="610"/>
      <c r="V342" s="610"/>
      <c r="W342" s="610"/>
      <c r="X342" s="610"/>
      <c r="Y342" s="610"/>
      <c r="Z342" s="610"/>
      <c r="AA342" s="610"/>
      <c r="AB342" s="610"/>
      <c r="AC342" s="610"/>
      <c r="AD342" s="610"/>
      <c r="AE342" s="610"/>
      <c r="AF342" s="610"/>
      <c r="AG342" s="610"/>
      <c r="AH342" s="610"/>
      <c r="AI342" s="610"/>
      <c r="AJ342" s="610"/>
      <c r="AK342" s="610"/>
      <c r="AL342" s="610"/>
    </row>
    <row r="343" spans="1:38" ht="13.5" customHeight="1">
      <c r="A343" s="6"/>
      <c r="B343" s="610"/>
      <c r="C343" s="652"/>
      <c r="D343" s="610"/>
      <c r="E343" s="610"/>
      <c r="F343" s="610"/>
      <c r="G343" s="610"/>
      <c r="H343" s="610"/>
      <c r="I343" s="610"/>
      <c r="J343" s="610"/>
      <c r="K343" s="610"/>
      <c r="L343" s="611"/>
      <c r="M343" s="653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10"/>
      <c r="AB343" s="610"/>
      <c r="AC343" s="610"/>
      <c r="AD343" s="610"/>
      <c r="AE343" s="610"/>
      <c r="AF343" s="610"/>
      <c r="AG343" s="610"/>
      <c r="AH343" s="610"/>
      <c r="AI343" s="610"/>
      <c r="AJ343" s="610"/>
      <c r="AK343" s="610"/>
      <c r="AL343" s="610"/>
    </row>
    <row r="344" spans="1:38" ht="14.25" customHeight="1">
      <c r="A344" s="6"/>
      <c r="B344" s="610"/>
      <c r="C344" s="610"/>
      <c r="D344" s="611"/>
      <c r="E344" s="611"/>
      <c r="F344" s="636"/>
      <c r="G344" s="636"/>
      <c r="H344" s="636"/>
      <c r="I344" s="611"/>
      <c r="J344" s="636"/>
      <c r="K344" s="636"/>
      <c r="L344" s="636"/>
      <c r="M344" s="611"/>
      <c r="N344" s="636"/>
      <c r="O344" s="636"/>
      <c r="P344" s="636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10"/>
      <c r="AB344" s="610"/>
      <c r="AC344" s="610"/>
      <c r="AD344" s="610"/>
      <c r="AE344" s="610"/>
      <c r="AF344" s="610"/>
      <c r="AG344" s="610"/>
      <c r="AH344" s="610"/>
      <c r="AI344" s="610"/>
      <c r="AJ344" s="610"/>
      <c r="AK344" s="610"/>
      <c r="AL344" s="610"/>
    </row>
    <row r="345" spans="1:38" ht="14.25" customHeight="1">
      <c r="A345" s="6"/>
      <c r="B345" s="610"/>
      <c r="C345" s="610"/>
      <c r="D345" s="610"/>
      <c r="E345" s="654" t="s">
        <v>678</v>
      </c>
      <c r="F345" s="610" t="s">
        <v>601</v>
      </c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10"/>
      <c r="AB345" s="610"/>
      <c r="AC345" s="610"/>
      <c r="AD345" s="610"/>
      <c r="AE345" s="610"/>
      <c r="AF345" s="610"/>
      <c r="AG345" s="610"/>
      <c r="AH345" s="610"/>
      <c r="AI345" s="610"/>
      <c r="AJ345" s="610"/>
      <c r="AK345" s="610"/>
      <c r="AL345" s="610"/>
    </row>
    <row r="346" spans="1:38" ht="14.25" customHeight="1">
      <c r="A346" s="6"/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  <c r="S346" s="610"/>
      <c r="T346" s="610"/>
      <c r="U346" s="610"/>
      <c r="V346" s="610"/>
      <c r="W346" s="610"/>
      <c r="X346" s="610"/>
      <c r="Y346" s="610"/>
      <c r="Z346" s="610"/>
      <c r="AA346" s="610"/>
      <c r="AB346" s="610"/>
      <c r="AC346" s="610"/>
      <c r="AD346" s="610"/>
      <c r="AE346" s="610"/>
      <c r="AF346" s="610"/>
      <c r="AG346" s="610"/>
      <c r="AH346" s="610"/>
      <c r="AI346" s="610"/>
      <c r="AJ346" s="610"/>
      <c r="AK346" s="610"/>
      <c r="AL346" s="610"/>
    </row>
    <row r="347" spans="1:38" ht="14.25" customHeight="1">
      <c r="A347" s="6"/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  <c r="S347" s="610"/>
      <c r="T347" s="610"/>
      <c r="U347" s="610"/>
      <c r="V347" s="610"/>
      <c r="W347" s="610"/>
      <c r="X347" s="610"/>
      <c r="Y347" s="610"/>
      <c r="Z347" s="610"/>
      <c r="AA347" s="610"/>
      <c r="AB347" s="610"/>
      <c r="AC347" s="610"/>
      <c r="AD347" s="610"/>
      <c r="AE347" s="610"/>
      <c r="AF347" s="610"/>
      <c r="AG347" s="610"/>
      <c r="AH347" s="610" t="s">
        <v>601</v>
      </c>
      <c r="AI347" s="849">
        <f>+F5/(2*COS(RADIANS(45+Q92/2)))</f>
        <v>4.9649392665302301</v>
      </c>
      <c r="AJ347" s="849"/>
      <c r="AK347" s="673"/>
      <c r="AL347" s="610"/>
    </row>
    <row r="348" spans="1:38" ht="14.25" customHeight="1">
      <c r="A348" s="6"/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610"/>
      <c r="AB348" s="610"/>
      <c r="AC348" s="610"/>
      <c r="AD348" s="610"/>
      <c r="AE348" s="610"/>
      <c r="AF348" s="610"/>
      <c r="AG348" s="610"/>
      <c r="AH348" s="610"/>
      <c r="AI348" s="610"/>
      <c r="AJ348" s="610"/>
      <c r="AK348" s="610"/>
      <c r="AL348" s="610"/>
    </row>
    <row r="349" spans="1:38" ht="14.25" customHeight="1">
      <c r="A349" s="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1"/>
      <c r="M349" s="653"/>
      <c r="N349" s="610"/>
      <c r="O349" s="610"/>
      <c r="P349" s="610"/>
      <c r="Q349" s="610"/>
      <c r="R349" s="610"/>
      <c r="S349" s="610"/>
      <c r="T349" s="610"/>
      <c r="U349" s="610"/>
      <c r="V349" s="610"/>
      <c r="W349" s="610"/>
      <c r="X349" s="610"/>
      <c r="Y349" s="610"/>
      <c r="Z349" s="610"/>
      <c r="AA349" s="610"/>
      <c r="AB349" s="610"/>
      <c r="AC349" s="610"/>
      <c r="AD349" s="610"/>
      <c r="AE349" s="610"/>
      <c r="AF349" s="610"/>
      <c r="AG349" s="610"/>
      <c r="AH349" s="610"/>
      <c r="AI349" s="610"/>
      <c r="AJ349" s="610"/>
      <c r="AK349" s="610"/>
      <c r="AL349" s="610"/>
    </row>
    <row r="350" spans="1:38" ht="14.25" customHeight="1">
      <c r="A350" s="6"/>
      <c r="B350" s="610"/>
      <c r="C350" s="610"/>
      <c r="D350" s="611"/>
      <c r="E350" s="611"/>
      <c r="F350" s="636"/>
      <c r="G350" s="636"/>
      <c r="H350" s="636"/>
      <c r="I350" s="611"/>
      <c r="J350" s="636"/>
      <c r="K350" s="636"/>
      <c r="L350" s="636"/>
      <c r="M350" s="611"/>
      <c r="N350" s="636"/>
      <c r="O350" s="636"/>
      <c r="P350" s="636"/>
      <c r="Q350" s="610"/>
      <c r="R350" s="610"/>
      <c r="S350" s="610"/>
      <c r="T350" s="610"/>
      <c r="U350" s="610"/>
      <c r="V350" s="610"/>
      <c r="W350" s="610"/>
      <c r="X350" s="610"/>
      <c r="Y350" s="610"/>
      <c r="Z350" s="610"/>
      <c r="AA350" s="610"/>
      <c r="AB350" s="610"/>
      <c r="AC350" s="610"/>
      <c r="AD350" s="610"/>
      <c r="AE350" s="610"/>
      <c r="AF350" s="610"/>
      <c r="AG350" s="610"/>
      <c r="AH350" s="610" t="s">
        <v>601</v>
      </c>
      <c r="AI350" s="848">
        <f xml:space="preserve"> EXP((PI()/4 + RADIANS(Q92/2))*TAN(RADIANS(Q92))) * COS(RADIANS(Q92))</f>
        <v>2.2968156297576172</v>
      </c>
      <c r="AJ350" s="848"/>
      <c r="AK350" s="610"/>
      <c r="AL350" s="610"/>
    </row>
    <row r="351" spans="1:38" ht="14.25" customHeight="1">
      <c r="A351" s="6"/>
      <c r="B351" s="610"/>
      <c r="C351" s="610"/>
      <c r="D351" s="611"/>
      <c r="E351" s="611"/>
      <c r="F351" s="636"/>
      <c r="G351" s="636"/>
      <c r="H351" s="636"/>
      <c r="I351" s="611"/>
      <c r="J351" s="636"/>
      <c r="K351" s="636"/>
      <c r="L351" s="636"/>
      <c r="M351" s="611"/>
      <c r="N351" s="636"/>
      <c r="O351" s="636"/>
      <c r="P351" s="636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10"/>
      <c r="AB351" s="610"/>
      <c r="AC351" s="610"/>
      <c r="AD351" s="610"/>
      <c r="AE351" s="610"/>
      <c r="AF351" s="610"/>
      <c r="AG351" s="610"/>
      <c r="AH351" s="610"/>
      <c r="AI351" s="610"/>
      <c r="AJ351" s="610"/>
      <c r="AK351" s="610"/>
      <c r="AL351" s="610"/>
    </row>
    <row r="352" spans="1:38" ht="14.25" customHeight="1">
      <c r="A352" s="6"/>
      <c r="B352" s="610"/>
      <c r="C352" s="610"/>
      <c r="D352" s="610"/>
      <c r="E352" s="610"/>
      <c r="F352" s="610"/>
      <c r="G352" s="636"/>
      <c r="H352" s="636"/>
      <c r="I352" s="611" t="s">
        <v>601</v>
      </c>
      <c r="J352" s="860">
        <f>F5/2</f>
        <v>1.9</v>
      </c>
      <c r="K352" s="860"/>
      <c r="L352" s="636" t="s">
        <v>622</v>
      </c>
      <c r="M352" s="646" t="s">
        <v>679</v>
      </c>
      <c r="N352" s="636"/>
      <c r="O352" s="636"/>
      <c r="P352" s="998">
        <f>Q92</f>
        <v>45</v>
      </c>
      <c r="Q352" s="998"/>
      <c r="R352" s="998"/>
      <c r="S352" s="610" t="s">
        <v>601</v>
      </c>
      <c r="T352" s="849">
        <f>J352*TAN(RADIANS((45-Q92/2)))</f>
        <v>0.78700576850888049</v>
      </c>
      <c r="U352" s="849"/>
      <c r="V352" s="849"/>
      <c r="W352" s="610"/>
      <c r="X352" s="610"/>
      <c r="Y352" s="610"/>
      <c r="Z352" s="610"/>
      <c r="AA352" s="610"/>
      <c r="AB352" s="610"/>
      <c r="AC352" s="610"/>
      <c r="AD352" s="610"/>
      <c r="AE352" s="610"/>
      <c r="AF352" s="610"/>
      <c r="AG352" s="610"/>
      <c r="AH352" s="610"/>
      <c r="AI352" s="610"/>
      <c r="AJ352" s="610"/>
      <c r="AK352" s="610"/>
      <c r="AL352" s="610"/>
    </row>
    <row r="353" spans="1:38" ht="14.25" customHeight="1">
      <c r="A353" s="6"/>
      <c r="B353" s="610"/>
      <c r="C353" s="610"/>
      <c r="D353" s="611"/>
      <c r="E353" s="611"/>
      <c r="F353" s="636"/>
      <c r="G353" s="636"/>
      <c r="H353" s="636"/>
      <c r="I353" s="611"/>
      <c r="J353" s="636"/>
      <c r="K353" s="636"/>
      <c r="L353" s="636"/>
      <c r="M353" s="611"/>
      <c r="N353" s="636"/>
      <c r="O353" s="636"/>
      <c r="P353" s="636"/>
      <c r="Q353" s="610"/>
      <c r="R353" s="610"/>
      <c r="S353" s="610"/>
      <c r="T353" s="610"/>
      <c r="U353" s="610"/>
      <c r="V353" s="610"/>
      <c r="W353" s="610"/>
      <c r="X353" s="610"/>
      <c r="Y353" s="610"/>
      <c r="Z353" s="610"/>
      <c r="AA353" s="610"/>
      <c r="AB353" s="610"/>
      <c r="AC353" s="610"/>
      <c r="AD353" s="610"/>
      <c r="AE353" s="610"/>
      <c r="AF353" s="610"/>
      <c r="AG353" s="610"/>
      <c r="AH353" s="610"/>
      <c r="AI353" s="610"/>
      <c r="AJ353" s="610"/>
      <c r="AK353" s="610"/>
      <c r="AL353" s="610"/>
    </row>
    <row r="354" spans="1:38" ht="14.25" customHeight="1">
      <c r="A354" s="6"/>
      <c r="B354" s="610"/>
      <c r="C354" s="610"/>
      <c r="D354" s="611"/>
      <c r="E354" s="611" t="s">
        <v>680</v>
      </c>
      <c r="F354" s="636" t="s">
        <v>601</v>
      </c>
      <c r="G354" s="636"/>
      <c r="H354" s="636"/>
      <c r="I354" s="611"/>
      <c r="J354" s="636"/>
      <c r="K354" s="636"/>
      <c r="L354" s="636"/>
      <c r="M354" s="611"/>
      <c r="N354" s="636"/>
      <c r="O354" s="636"/>
      <c r="P354" s="636"/>
      <c r="Q354" s="610" t="s">
        <v>601</v>
      </c>
      <c r="R354" s="849">
        <f>AI347*AI350</f>
        <v>11.403550108163953</v>
      </c>
      <c r="S354" s="849"/>
      <c r="T354" s="849"/>
      <c r="U354" s="610"/>
      <c r="V354" s="610"/>
      <c r="W354" s="610"/>
      <c r="X354" s="610"/>
      <c r="Y354" s="610"/>
      <c r="Z354" s="610"/>
      <c r="AA354" s="610"/>
      <c r="AB354" s="610"/>
      <c r="AC354" s="610"/>
      <c r="AD354" s="610"/>
      <c r="AE354" s="610"/>
      <c r="AF354" s="610"/>
      <c r="AG354" s="610"/>
      <c r="AH354" s="610"/>
      <c r="AI354" s="610"/>
      <c r="AJ354" s="610"/>
      <c r="AK354" s="610"/>
      <c r="AL354" s="610"/>
    </row>
    <row r="355" spans="1:38" ht="14.25" customHeight="1">
      <c r="A355" s="6"/>
      <c r="B355" s="610"/>
      <c r="C355" s="610"/>
      <c r="D355" s="610"/>
      <c r="E355" s="610"/>
      <c r="F355" s="610"/>
      <c r="G355" s="610"/>
      <c r="H355" s="610"/>
      <c r="I355" s="610"/>
      <c r="J355" s="610"/>
      <c r="K355" s="610"/>
      <c r="L355" s="610"/>
      <c r="M355" s="610"/>
      <c r="N355" s="610"/>
      <c r="O355" s="610"/>
      <c r="P355" s="610"/>
      <c r="Q355" s="610"/>
      <c r="R355" s="610"/>
      <c r="S355" s="610"/>
      <c r="T355" s="610"/>
      <c r="U355" s="610"/>
      <c r="V355" s="610"/>
      <c r="W355" s="610"/>
      <c r="X355" s="610"/>
      <c r="Y355" s="610"/>
      <c r="Z355" s="610"/>
      <c r="AA355" s="610"/>
      <c r="AB355" s="610"/>
      <c r="AC355" s="610"/>
      <c r="AD355" s="610"/>
      <c r="AE355" s="610"/>
      <c r="AF355" s="610"/>
      <c r="AG355" s="610"/>
      <c r="AH355" s="610"/>
      <c r="AI355" s="610"/>
      <c r="AJ355" s="610"/>
      <c r="AK355" s="610"/>
      <c r="AL355" s="610"/>
    </row>
    <row r="356" spans="1:38" ht="14.25" customHeight="1">
      <c r="A356" s="6"/>
      <c r="B356" s="610"/>
      <c r="C356" s="610"/>
      <c r="D356" s="611"/>
      <c r="E356" s="631"/>
      <c r="F356" s="631"/>
      <c r="G356" s="631"/>
      <c r="H356" s="611"/>
      <c r="I356" s="631"/>
      <c r="J356" s="631"/>
      <c r="K356" s="631"/>
      <c r="L356" s="611"/>
      <c r="M356" s="631"/>
      <c r="N356" s="631"/>
      <c r="O356" s="631"/>
      <c r="P356" s="610"/>
      <c r="Q356" s="610"/>
      <c r="R356" s="631"/>
      <c r="S356" s="631"/>
      <c r="T356" s="611"/>
      <c r="U356" s="636"/>
      <c r="V356" s="636"/>
      <c r="W356" s="636"/>
      <c r="X356" s="610"/>
      <c r="Y356" s="610"/>
      <c r="Z356" s="610"/>
      <c r="AA356" s="610"/>
      <c r="AB356" s="610"/>
      <c r="AC356" s="610"/>
      <c r="AD356" s="610"/>
      <c r="AE356" s="610"/>
      <c r="AF356" s="610"/>
      <c r="AG356" s="610"/>
      <c r="AH356" s="610"/>
      <c r="AI356" s="610"/>
      <c r="AJ356" s="610"/>
      <c r="AK356" s="610"/>
      <c r="AL356" s="610"/>
    </row>
    <row r="357" spans="1:38" ht="14.25" customHeight="1">
      <c r="A357" s="6"/>
      <c r="B357" s="610"/>
      <c r="C357" s="610"/>
      <c r="D357" s="611" t="s">
        <v>681</v>
      </c>
      <c r="E357" s="631" t="s">
        <v>601</v>
      </c>
      <c r="F357" s="741">
        <f>IF($X$92=1,1,IF($X$92=2,1,IF($X$92=3,1,0)))</f>
        <v>1</v>
      </c>
      <c r="G357" s="631" t="s">
        <v>682</v>
      </c>
      <c r="H357" s="611"/>
      <c r="I357" s="631"/>
      <c r="J357" s="631"/>
      <c r="K357" s="631" t="s">
        <v>601</v>
      </c>
      <c r="L357" s="988">
        <v>0.5</v>
      </c>
      <c r="M357" s="988"/>
      <c r="N357" s="631" t="s">
        <v>623</v>
      </c>
      <c r="O357" s="657">
        <f>F357</f>
        <v>1</v>
      </c>
      <c r="P357" s="631" t="s">
        <v>683</v>
      </c>
      <c r="Q357" s="610" t="s">
        <v>684</v>
      </c>
      <c r="R357" s="636" t="s">
        <v>622</v>
      </c>
      <c r="S357" s="848">
        <f>[1]검토현황!$D$33</f>
        <v>0.5</v>
      </c>
      <c r="T357" s="848"/>
      <c r="U357" s="610" t="s">
        <v>601</v>
      </c>
      <c r="V357" s="860">
        <f>L357+(F357-1)*S357</f>
        <v>0.5</v>
      </c>
      <c r="W357" s="860"/>
      <c r="X357" s="610"/>
      <c r="Y357" s="610"/>
      <c r="Z357" s="610"/>
      <c r="AA357" s="610"/>
      <c r="AB357" s="610"/>
      <c r="AC357" s="610" t="s">
        <v>828</v>
      </c>
      <c r="AD357" s="610"/>
      <c r="AE357" s="610"/>
      <c r="AF357" s="610"/>
      <c r="AG357" s="610"/>
      <c r="AH357" s="610"/>
      <c r="AI357" s="610"/>
      <c r="AJ357" s="610"/>
      <c r="AK357" s="610"/>
      <c r="AL357" s="610"/>
    </row>
    <row r="358" spans="1:38" ht="14.25" customHeight="1">
      <c r="A358" s="6"/>
      <c r="B358" s="610"/>
      <c r="C358" s="610"/>
      <c r="D358" s="611"/>
      <c r="E358" s="654" t="s">
        <v>678</v>
      </c>
      <c r="F358" s="631" t="s">
        <v>601</v>
      </c>
      <c r="G358" s="610"/>
      <c r="H358" s="611"/>
      <c r="I358" s="631"/>
      <c r="J358" s="631"/>
      <c r="K358" s="631"/>
      <c r="L358" s="611"/>
      <c r="M358" s="631"/>
      <c r="N358" s="631"/>
      <c r="O358" s="610" t="s">
        <v>601</v>
      </c>
      <c r="P358" s="849">
        <f>1-(2*(V357)*TAN(RADIANS(45-Q92/2)))/F5</f>
        <v>0.89099643095444869</v>
      </c>
      <c r="Q358" s="849"/>
      <c r="R358" s="655"/>
      <c r="S358" s="610"/>
      <c r="T358" s="611"/>
      <c r="U358" s="636"/>
      <c r="V358" s="636"/>
      <c r="W358" s="636"/>
      <c r="X358" s="610"/>
      <c r="Y358" s="610"/>
      <c r="Z358" s="610"/>
      <c r="AA358" s="610"/>
      <c r="AB358" s="610"/>
      <c r="AC358" s="610" t="s">
        <v>829</v>
      </c>
      <c r="AD358" s="610"/>
      <c r="AE358" s="610"/>
      <c r="AF358" s="610"/>
      <c r="AG358" s="610"/>
      <c r="AH358" s="610"/>
      <c r="AI358" s="610"/>
      <c r="AJ358" s="610"/>
      <c r="AK358" s="610"/>
      <c r="AL358" s="610"/>
    </row>
    <row r="359" spans="1:38" ht="14.25" customHeight="1">
      <c r="A359" s="6"/>
      <c r="B359" s="610"/>
      <c r="C359" s="610"/>
      <c r="D359" s="610"/>
      <c r="E359" s="610"/>
      <c r="F359" s="610"/>
      <c r="G359" s="610"/>
      <c r="H359" s="610"/>
      <c r="I359" s="610"/>
      <c r="J359" s="610"/>
      <c r="K359" s="611"/>
      <c r="L359" s="658"/>
      <c r="M359" s="611"/>
      <c r="N359" s="611"/>
      <c r="O359" s="611"/>
      <c r="P359" s="611"/>
      <c r="Q359" s="611"/>
      <c r="R359" s="611"/>
      <c r="S359" s="611"/>
      <c r="T359" s="645"/>
      <c r="U359" s="645"/>
      <c r="V359" s="645"/>
      <c r="W359" s="610"/>
      <c r="X359" s="610"/>
      <c r="Y359" s="610"/>
      <c r="Z359" s="610"/>
      <c r="AA359" s="610"/>
      <c r="AB359" s="610"/>
      <c r="AC359" s="610" t="s">
        <v>831</v>
      </c>
      <c r="AD359" s="610"/>
      <c r="AE359" s="610"/>
      <c r="AF359" s="610"/>
      <c r="AG359" s="610"/>
      <c r="AH359" s="610"/>
      <c r="AI359" s="610"/>
      <c r="AJ359" s="610"/>
      <c r="AK359" s="610"/>
      <c r="AL359" s="610"/>
    </row>
    <row r="360" spans="1:38" ht="14.25" customHeight="1">
      <c r="A360" s="6"/>
      <c r="B360" s="610"/>
      <c r="C360" s="610"/>
      <c r="D360" s="610"/>
      <c r="E360" s="654" t="s">
        <v>678</v>
      </c>
      <c r="F360" s="631" t="s">
        <v>601</v>
      </c>
      <c r="G360" s="610"/>
      <c r="H360" s="611"/>
      <c r="I360" s="631"/>
      <c r="J360" s="631"/>
      <c r="K360" s="631"/>
      <c r="L360" s="611"/>
      <c r="M360" s="631"/>
      <c r="N360" s="631"/>
      <c r="O360" s="610" t="s">
        <v>601</v>
      </c>
      <c r="P360" s="849">
        <f>0.5-((V357)/(2*$R$354))</f>
        <v>0.47807700254493363</v>
      </c>
      <c r="Q360" s="849"/>
      <c r="R360" s="655"/>
      <c r="S360" s="610"/>
      <c r="T360" s="645"/>
      <c r="U360" s="645"/>
      <c r="V360" s="645"/>
      <c r="W360" s="610"/>
      <c r="X360" s="610"/>
      <c r="Y360" s="610"/>
      <c r="Z360" s="610"/>
      <c r="AA360" s="610"/>
      <c r="AB360" s="610"/>
      <c r="AC360" s="610" t="s">
        <v>830</v>
      </c>
      <c r="AD360" s="610"/>
      <c r="AE360" s="610"/>
      <c r="AF360" s="610"/>
      <c r="AG360" s="610"/>
      <c r="AH360" s="610"/>
      <c r="AI360" s="610"/>
      <c r="AJ360" s="610"/>
      <c r="AK360" s="610"/>
      <c r="AL360" s="610"/>
    </row>
    <row r="361" spans="1:38" ht="14.25" customHeight="1">
      <c r="A361" s="6"/>
      <c r="B361" s="610"/>
      <c r="C361" s="610"/>
      <c r="D361" s="610"/>
      <c r="E361" s="610"/>
      <c r="F361" s="610"/>
      <c r="G361" s="610"/>
      <c r="H361" s="610"/>
      <c r="I361" s="610"/>
      <c r="J361" s="610"/>
      <c r="K361" s="611"/>
      <c r="L361" s="658"/>
      <c r="M361" s="611"/>
      <c r="N361" s="611"/>
      <c r="O361" s="611"/>
      <c r="P361" s="611"/>
      <c r="Q361" s="611"/>
      <c r="R361" s="611"/>
      <c r="S361" s="611"/>
      <c r="T361" s="645"/>
      <c r="U361" s="645"/>
      <c r="V361" s="645"/>
      <c r="W361" s="610"/>
      <c r="X361" s="610"/>
      <c r="Y361" s="610"/>
      <c r="Z361" s="610"/>
      <c r="AA361" s="610"/>
      <c r="AB361" s="610"/>
      <c r="AC361" s="610"/>
      <c r="AD361" s="610"/>
      <c r="AE361" s="610"/>
      <c r="AF361" s="610"/>
      <c r="AG361" s="610"/>
      <c r="AH361" s="610"/>
      <c r="AI361" s="610"/>
      <c r="AJ361" s="610"/>
      <c r="AK361" s="610"/>
      <c r="AL361" s="610"/>
    </row>
    <row r="362" spans="1:38" ht="14.25" customHeight="1">
      <c r="A362" s="6"/>
      <c r="B362" s="610"/>
      <c r="C362" s="610"/>
      <c r="D362" s="610"/>
      <c r="E362" s="652" t="s">
        <v>685</v>
      </c>
      <c r="F362" s="610"/>
      <c r="G362" s="610"/>
      <c r="H362" s="610"/>
      <c r="I362" s="610"/>
      <c r="J362" s="610"/>
      <c r="K362" s="611"/>
      <c r="L362" s="658"/>
      <c r="M362" s="611"/>
      <c r="N362" s="611" t="s">
        <v>601</v>
      </c>
      <c r="O362" s="619">
        <v>12</v>
      </c>
      <c r="P362" s="659" t="s">
        <v>622</v>
      </c>
      <c r="Q362" s="619">
        <f>+U340</f>
        <v>75</v>
      </c>
      <c r="R362" s="659" t="s">
        <v>622</v>
      </c>
      <c r="S362" s="986">
        <f>V357</f>
        <v>0.5</v>
      </c>
      <c r="T362" s="986"/>
      <c r="U362" s="659" t="s">
        <v>622</v>
      </c>
      <c r="V362" s="987">
        <f>IF(V357&lt;$T$352,P358,P360)</f>
        <v>0.89099643095444869</v>
      </c>
      <c r="W362" s="987"/>
      <c r="X362" s="610"/>
      <c r="Y362" s="610"/>
      <c r="Z362" s="610"/>
      <c r="AA362" s="610"/>
      <c r="AB362" s="610"/>
      <c r="AC362" s="610"/>
      <c r="AD362" s="610"/>
      <c r="AE362" s="610"/>
      <c r="AF362" s="610"/>
      <c r="AG362" s="610"/>
      <c r="AH362" s="610"/>
      <c r="AI362" s="610"/>
      <c r="AJ362" s="610"/>
      <c r="AK362" s="610"/>
      <c r="AL362" s="610"/>
    </row>
    <row r="363" spans="1:38" ht="14.25" customHeight="1">
      <c r="A363" s="6"/>
      <c r="B363" s="610"/>
      <c r="C363" s="610"/>
      <c r="D363" s="610"/>
      <c r="E363" s="610"/>
      <c r="F363" s="610"/>
      <c r="G363" s="610"/>
      <c r="H363" s="610"/>
      <c r="I363" s="610"/>
      <c r="J363" s="610"/>
      <c r="K363" s="611"/>
      <c r="L363" s="658"/>
      <c r="M363" s="611"/>
      <c r="N363" s="611"/>
      <c r="O363" s="611"/>
      <c r="P363" s="611"/>
      <c r="Q363" s="611"/>
      <c r="R363" s="611">
        <f>+$F$5^2</f>
        <v>14.44</v>
      </c>
      <c r="S363" s="611"/>
      <c r="T363" s="645"/>
      <c r="U363" s="645"/>
      <c r="V363" s="645"/>
      <c r="W363" s="610"/>
      <c r="X363" s="610"/>
      <c r="Y363" s="610"/>
      <c r="Z363" s="610"/>
      <c r="AA363" s="610"/>
      <c r="AB363" s="610"/>
      <c r="AC363" s="775" t="s">
        <v>881</v>
      </c>
      <c r="AD363" s="610"/>
      <c r="AE363" s="610"/>
      <c r="AF363" s="610"/>
      <c r="AG363" s="610"/>
      <c r="AH363" s="610"/>
      <c r="AI363" s="610"/>
      <c r="AJ363" s="610"/>
      <c r="AK363" s="610"/>
      <c r="AL363" s="610"/>
    </row>
    <row r="364" spans="1:38" ht="14.25" customHeight="1">
      <c r="A364" s="6"/>
      <c r="B364" s="610"/>
      <c r="C364" s="610"/>
      <c r="D364" s="610"/>
      <c r="E364" s="610"/>
      <c r="F364" s="610"/>
      <c r="G364" s="610"/>
      <c r="H364" s="610"/>
      <c r="I364" s="610"/>
      <c r="J364" s="610"/>
      <c r="K364" s="611"/>
      <c r="L364" s="658"/>
      <c r="M364" s="611"/>
      <c r="N364" s="611" t="s">
        <v>601</v>
      </c>
      <c r="O364" s="988">
        <f>IF(OR($F$5&lt;2,$F$5=2),(O362*Q362*S362*V362/R363)/10,O362*Q362*S362*V362/R363)</f>
        <v>27.766509274896254</v>
      </c>
      <c r="P364" s="988"/>
      <c r="Q364" s="988"/>
      <c r="R364" s="610" t="s">
        <v>624</v>
      </c>
      <c r="S364" s="611"/>
      <c r="T364" s="645"/>
      <c r="U364" s="645"/>
      <c r="V364" s="645"/>
      <c r="W364" s="610"/>
      <c r="X364" s="610"/>
      <c r="Y364" s="610"/>
      <c r="Z364" s="610"/>
      <c r="AA364" s="610"/>
      <c r="AB364" s="610"/>
      <c r="AC364" s="610"/>
      <c r="AD364" s="610"/>
      <c r="AE364" s="610"/>
      <c r="AF364" s="610"/>
      <c r="AG364" s="610"/>
      <c r="AH364" s="610"/>
      <c r="AI364" s="610"/>
      <c r="AJ364" s="610"/>
      <c r="AK364" s="610"/>
      <c r="AL364" s="610"/>
    </row>
    <row r="365" spans="1:38" ht="14.25" customHeight="1">
      <c r="A365" s="6"/>
      <c r="B365" s="610"/>
      <c r="C365" s="610"/>
      <c r="D365" s="610"/>
      <c r="E365" s="610"/>
      <c r="F365" s="610"/>
      <c r="G365" s="610"/>
      <c r="H365" s="610"/>
      <c r="I365" s="610"/>
      <c r="J365" s="610"/>
      <c r="K365" s="611"/>
      <c r="L365" s="658"/>
      <c r="M365" s="611"/>
      <c r="N365" s="611"/>
      <c r="O365" s="656"/>
      <c r="P365" s="656"/>
      <c r="Q365" s="656"/>
      <c r="R365" s="610"/>
      <c r="S365" s="611"/>
      <c r="T365" s="645"/>
      <c r="U365" s="645"/>
      <c r="V365" s="645"/>
      <c r="W365" s="610"/>
      <c r="X365" s="610"/>
      <c r="Y365" s="610"/>
      <c r="Z365" s="610"/>
      <c r="AA365" s="610"/>
      <c r="AB365" s="610"/>
      <c r="AC365" s="610"/>
      <c r="AD365" s="610"/>
      <c r="AE365" s="610"/>
      <c r="AF365" s="610"/>
      <c r="AG365" s="610"/>
      <c r="AH365" s="610"/>
      <c r="AI365" s="610"/>
      <c r="AJ365" s="610"/>
      <c r="AK365" s="610"/>
      <c r="AL365" s="610"/>
    </row>
    <row r="366" spans="1:38" ht="14.25" customHeight="1">
      <c r="A366" s="6"/>
      <c r="B366" s="610"/>
      <c r="C366" s="610"/>
      <c r="D366" s="611" t="s">
        <v>681</v>
      </c>
      <c r="E366" s="631" t="s">
        <v>601</v>
      </c>
      <c r="F366" s="741">
        <f>IF($X$92=1,0,IF($X$92=2,2,IF($X$92=3,2,0)))</f>
        <v>0</v>
      </c>
      <c r="G366" s="631" t="s">
        <v>682</v>
      </c>
      <c r="H366" s="611"/>
      <c r="I366" s="631"/>
      <c r="J366" s="631"/>
      <c r="K366" s="631" t="s">
        <v>601</v>
      </c>
      <c r="L366" s="988">
        <v>0.5</v>
      </c>
      <c r="M366" s="988"/>
      <c r="N366" s="631" t="s">
        <v>623</v>
      </c>
      <c r="O366" s="657">
        <f>F366</f>
        <v>0</v>
      </c>
      <c r="P366" s="631" t="s">
        <v>683</v>
      </c>
      <c r="Q366" s="610" t="s">
        <v>684</v>
      </c>
      <c r="R366" s="636" t="s">
        <v>622</v>
      </c>
      <c r="S366" s="848">
        <v>0.5</v>
      </c>
      <c r="T366" s="848"/>
      <c r="U366" s="610" t="s">
        <v>601</v>
      </c>
      <c r="V366" s="860">
        <f>L366+(F366-1)*S366</f>
        <v>0</v>
      </c>
      <c r="W366" s="860"/>
      <c r="X366" s="610"/>
      <c r="Y366" s="610"/>
      <c r="Z366" s="610"/>
      <c r="AA366" s="610"/>
      <c r="AB366" s="610"/>
      <c r="AC366" s="610"/>
      <c r="AD366" s="610"/>
      <c r="AE366" s="610"/>
      <c r="AF366" s="610"/>
      <c r="AG366" s="610"/>
      <c r="AH366" s="610"/>
      <c r="AI366" s="610"/>
      <c r="AJ366" s="610"/>
      <c r="AK366" s="610"/>
      <c r="AL366" s="610"/>
    </row>
    <row r="367" spans="1:38" ht="14.25" customHeight="1">
      <c r="A367" s="6"/>
      <c r="B367" s="610"/>
      <c r="C367" s="610"/>
      <c r="D367" s="611"/>
      <c r="E367" s="654" t="s">
        <v>678</v>
      </c>
      <c r="F367" s="631" t="s">
        <v>601</v>
      </c>
      <c r="G367" s="610"/>
      <c r="H367" s="611"/>
      <c r="I367" s="631"/>
      <c r="J367" s="631"/>
      <c r="K367" s="631"/>
      <c r="L367" s="611"/>
      <c r="M367" s="631"/>
      <c r="N367" s="631"/>
      <c r="O367" s="610" t="s">
        <v>601</v>
      </c>
      <c r="P367" s="849">
        <f>1-(2*(V366)*TAN(RADIANS(45-Q92/2)))/F5</f>
        <v>1</v>
      </c>
      <c r="Q367" s="849"/>
      <c r="R367" s="655"/>
      <c r="S367" s="610"/>
      <c r="T367" s="611"/>
      <c r="U367" s="636"/>
      <c r="V367" s="636"/>
      <c r="W367" s="636"/>
      <c r="X367" s="610"/>
      <c r="Y367" s="610"/>
      <c r="Z367" s="610"/>
      <c r="AA367" s="610"/>
      <c r="AB367" s="610"/>
      <c r="AC367" s="610"/>
      <c r="AD367" s="610"/>
      <c r="AE367" s="610"/>
      <c r="AF367" s="610"/>
      <c r="AG367" s="610"/>
      <c r="AH367" s="610"/>
      <c r="AI367" s="610"/>
      <c r="AJ367" s="610"/>
      <c r="AK367" s="610"/>
      <c r="AL367" s="610"/>
    </row>
    <row r="368" spans="1:38" ht="14.25" customHeight="1">
      <c r="A368" s="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1"/>
      <c r="L368" s="658"/>
      <c r="M368" s="611"/>
      <c r="N368" s="611"/>
      <c r="O368" s="611"/>
      <c r="P368" s="611"/>
      <c r="Q368" s="611"/>
      <c r="R368" s="611"/>
      <c r="S368" s="611"/>
      <c r="T368" s="645"/>
      <c r="U368" s="645"/>
      <c r="V368" s="645"/>
      <c r="W368" s="610"/>
      <c r="X368" s="610"/>
      <c r="Y368" s="610"/>
      <c r="Z368" s="610"/>
      <c r="AA368" s="610"/>
      <c r="AB368" s="610"/>
      <c r="AC368" s="610"/>
      <c r="AD368" s="610"/>
      <c r="AE368" s="610"/>
      <c r="AF368" s="610"/>
      <c r="AG368" s="610"/>
      <c r="AH368" s="610"/>
      <c r="AI368" s="610"/>
      <c r="AJ368" s="610"/>
      <c r="AK368" s="610"/>
      <c r="AL368" s="610"/>
    </row>
    <row r="369" spans="1:38" ht="14.25" customHeight="1">
      <c r="A369" s="6"/>
      <c r="B369" s="610"/>
      <c r="C369" s="610"/>
      <c r="D369" s="610"/>
      <c r="E369" s="654" t="s">
        <v>678</v>
      </c>
      <c r="F369" s="631" t="s">
        <v>601</v>
      </c>
      <c r="G369" s="610"/>
      <c r="H369" s="611"/>
      <c r="I369" s="631"/>
      <c r="J369" s="631"/>
      <c r="K369" s="631"/>
      <c r="L369" s="611"/>
      <c r="M369" s="631"/>
      <c r="N369" s="631"/>
      <c r="O369" s="610" t="s">
        <v>601</v>
      </c>
      <c r="P369" s="849">
        <f>0.5-((V366)/(2*$R$354))</f>
        <v>0.5</v>
      </c>
      <c r="Q369" s="849"/>
      <c r="R369" s="655"/>
      <c r="S369" s="610"/>
      <c r="T369" s="645"/>
      <c r="U369" s="645"/>
      <c r="V369" s="645"/>
      <c r="W369" s="610"/>
      <c r="X369" s="610"/>
      <c r="Y369" s="610"/>
      <c r="Z369" s="610"/>
      <c r="AA369" s="610"/>
      <c r="AB369" s="610"/>
      <c r="AC369" s="610"/>
      <c r="AD369" s="610"/>
      <c r="AE369" s="610"/>
      <c r="AF369" s="610"/>
      <c r="AG369" s="610"/>
      <c r="AH369" s="610"/>
      <c r="AI369" s="610"/>
      <c r="AJ369" s="610"/>
      <c r="AK369" s="610"/>
      <c r="AL369" s="610"/>
    </row>
    <row r="370" spans="1:38" ht="14.25" customHeight="1">
      <c r="A370" s="6"/>
      <c r="B370" s="610"/>
      <c r="C370" s="610"/>
      <c r="D370" s="610"/>
      <c r="E370" s="610"/>
      <c r="F370" s="610"/>
      <c r="G370" s="610"/>
      <c r="H370" s="610"/>
      <c r="I370" s="610"/>
      <c r="J370" s="610"/>
      <c r="K370" s="611"/>
      <c r="L370" s="658"/>
      <c r="M370" s="611"/>
      <c r="N370" s="611"/>
      <c r="O370" s="611"/>
      <c r="P370" s="611"/>
      <c r="Q370" s="611"/>
      <c r="R370" s="611"/>
      <c r="S370" s="611"/>
      <c r="T370" s="645"/>
      <c r="U370" s="645"/>
      <c r="V370" s="645"/>
      <c r="W370" s="610"/>
      <c r="X370" s="610"/>
      <c r="Y370" s="610"/>
      <c r="Z370" s="610"/>
      <c r="AA370" s="610"/>
      <c r="AB370" s="610"/>
      <c r="AC370" s="610"/>
      <c r="AD370" s="610"/>
      <c r="AE370" s="610"/>
      <c r="AF370" s="610"/>
      <c r="AG370" s="610"/>
      <c r="AH370" s="610"/>
      <c r="AI370" s="610"/>
      <c r="AJ370" s="610"/>
      <c r="AK370" s="610"/>
      <c r="AL370" s="610"/>
    </row>
    <row r="371" spans="1:38" ht="14.25" customHeight="1">
      <c r="A371" s="6"/>
      <c r="B371" s="610"/>
      <c r="C371" s="610"/>
      <c r="D371" s="610"/>
      <c r="E371" s="652" t="s">
        <v>686</v>
      </c>
      <c r="F371" s="610"/>
      <c r="G371" s="610"/>
      <c r="H371" s="610"/>
      <c r="I371" s="610"/>
      <c r="J371" s="610"/>
      <c r="K371" s="611"/>
      <c r="L371" s="658"/>
      <c r="M371" s="611"/>
      <c r="N371" s="611" t="s">
        <v>601</v>
      </c>
      <c r="O371" s="619">
        <v>12</v>
      </c>
      <c r="P371" s="659" t="s">
        <v>622</v>
      </c>
      <c r="Q371" s="619">
        <f>+U340</f>
        <v>75</v>
      </c>
      <c r="R371" s="659" t="s">
        <v>622</v>
      </c>
      <c r="S371" s="986">
        <f>V366</f>
        <v>0</v>
      </c>
      <c r="T371" s="986"/>
      <c r="U371" s="659" t="s">
        <v>622</v>
      </c>
      <c r="V371" s="987">
        <f>IF(V366&lt;$T$352,P367,P369)</f>
        <v>1</v>
      </c>
      <c r="W371" s="987"/>
      <c r="X371" s="610"/>
      <c r="Y371" s="610"/>
      <c r="Z371" s="610"/>
      <c r="AA371" s="610"/>
      <c r="AB371" s="610"/>
      <c r="AC371" s="610"/>
      <c r="AD371" s="610"/>
      <c r="AE371" s="610"/>
      <c r="AF371" s="610"/>
      <c r="AG371" s="610"/>
      <c r="AH371" s="610"/>
      <c r="AI371" s="610"/>
      <c r="AJ371" s="610"/>
      <c r="AK371" s="610"/>
      <c r="AL371" s="610"/>
    </row>
    <row r="372" spans="1:38" ht="14.25" customHeight="1">
      <c r="A372" s="6"/>
      <c r="B372" s="610"/>
      <c r="C372" s="610"/>
      <c r="D372" s="610"/>
      <c r="E372" s="610"/>
      <c r="F372" s="610"/>
      <c r="G372" s="610"/>
      <c r="H372" s="610"/>
      <c r="I372" s="610"/>
      <c r="J372" s="610"/>
      <c r="K372" s="611"/>
      <c r="L372" s="658"/>
      <c r="M372" s="611"/>
      <c r="N372" s="611"/>
      <c r="O372" s="611"/>
      <c r="P372" s="611"/>
      <c r="Q372" s="611"/>
      <c r="R372" s="611">
        <f>+$F$5^2</f>
        <v>14.44</v>
      </c>
      <c r="S372" s="611"/>
      <c r="T372" s="645"/>
      <c r="U372" s="645"/>
      <c r="V372" s="645"/>
      <c r="W372" s="610"/>
      <c r="X372" s="610"/>
      <c r="Y372" s="610"/>
      <c r="Z372" s="610"/>
      <c r="AA372" s="610"/>
      <c r="AB372" s="610"/>
      <c r="AC372" s="610"/>
      <c r="AD372" s="610"/>
      <c r="AE372" s="610"/>
      <c r="AF372" s="610"/>
      <c r="AG372" s="610"/>
      <c r="AH372" s="610"/>
      <c r="AI372" s="610"/>
      <c r="AJ372" s="610"/>
      <c r="AK372" s="610"/>
      <c r="AL372" s="610"/>
    </row>
    <row r="373" spans="1:38" ht="14.25" customHeight="1">
      <c r="A373" s="6"/>
      <c r="B373" s="610"/>
      <c r="C373" s="610"/>
      <c r="D373" s="610"/>
      <c r="E373" s="610"/>
      <c r="F373" s="610"/>
      <c r="G373" s="610"/>
      <c r="H373" s="610"/>
      <c r="I373" s="610"/>
      <c r="J373" s="610"/>
      <c r="K373" s="611"/>
      <c r="L373" s="658"/>
      <c r="M373" s="611"/>
      <c r="N373" s="611" t="s">
        <v>601</v>
      </c>
      <c r="O373" s="988">
        <f>IF(OR($F$5&lt;2,$F$5=2),(O371*Q371*S371*V371/R372)/10,O371*Q371*S371*V371/R372)</f>
        <v>0</v>
      </c>
      <c r="P373" s="988"/>
      <c r="Q373" s="988"/>
      <c r="R373" s="610" t="s">
        <v>624</v>
      </c>
      <c r="S373" s="611"/>
      <c r="T373" s="645"/>
      <c r="U373" s="645"/>
      <c r="V373" s="645"/>
      <c r="W373" s="610"/>
      <c r="X373" s="610"/>
      <c r="Y373" s="610"/>
      <c r="Z373" s="610"/>
      <c r="AA373" s="610"/>
      <c r="AB373" s="610"/>
      <c r="AC373" s="610"/>
      <c r="AD373" s="610"/>
      <c r="AE373" s="610"/>
      <c r="AF373" s="610"/>
      <c r="AG373" s="610"/>
      <c r="AH373" s="610"/>
      <c r="AI373" s="610"/>
      <c r="AJ373" s="610"/>
      <c r="AK373" s="610"/>
      <c r="AL373" s="610"/>
    </row>
    <row r="374" spans="1:38" ht="14.25" customHeight="1">
      <c r="A374" s="6"/>
      <c r="B374" s="610"/>
      <c r="C374" s="610"/>
      <c r="D374" s="610"/>
      <c r="E374" s="610"/>
      <c r="F374" s="610"/>
      <c r="G374" s="610"/>
      <c r="H374" s="610"/>
      <c r="I374" s="610"/>
      <c r="J374" s="610"/>
      <c r="K374" s="611"/>
      <c r="L374" s="658"/>
      <c r="M374" s="611"/>
      <c r="N374" s="611"/>
      <c r="O374" s="656"/>
      <c r="P374" s="656"/>
      <c r="Q374" s="656"/>
      <c r="R374" s="610"/>
      <c r="S374" s="611"/>
      <c r="T374" s="645"/>
      <c r="U374" s="645"/>
      <c r="V374" s="645"/>
      <c r="W374" s="610"/>
      <c r="X374" s="610"/>
      <c r="Y374" s="610"/>
      <c r="Z374" s="610"/>
      <c r="AA374" s="610"/>
      <c r="AB374" s="610"/>
      <c r="AC374" s="610"/>
      <c r="AD374" s="610"/>
      <c r="AE374" s="610"/>
      <c r="AF374" s="610"/>
      <c r="AG374" s="610"/>
      <c r="AH374" s="610"/>
      <c r="AI374" s="610"/>
      <c r="AJ374" s="610"/>
      <c r="AK374" s="610"/>
      <c r="AL374" s="610"/>
    </row>
    <row r="375" spans="1:38" ht="14.25" customHeight="1">
      <c r="A375" s="6"/>
      <c r="B375" s="610"/>
      <c r="C375" s="610"/>
      <c r="D375" s="611" t="s">
        <v>681</v>
      </c>
      <c r="E375" s="631" t="s">
        <v>601</v>
      </c>
      <c r="F375" s="741">
        <f>IF($X$92=1,0,IF($X$92=2,0,IF($X$92=3,3,0)))</f>
        <v>0</v>
      </c>
      <c r="G375" s="631" t="s">
        <v>682</v>
      </c>
      <c r="H375" s="611"/>
      <c r="I375" s="631"/>
      <c r="J375" s="631"/>
      <c r="K375" s="631" t="s">
        <v>601</v>
      </c>
      <c r="L375" s="988">
        <v>0.5</v>
      </c>
      <c r="M375" s="988"/>
      <c r="N375" s="631" t="s">
        <v>623</v>
      </c>
      <c r="O375" s="657">
        <f>F375</f>
        <v>0</v>
      </c>
      <c r="P375" s="631" t="s">
        <v>683</v>
      </c>
      <c r="Q375" s="610" t="s">
        <v>684</v>
      </c>
      <c r="R375" s="636" t="s">
        <v>622</v>
      </c>
      <c r="S375" s="848">
        <v>0.5</v>
      </c>
      <c r="T375" s="848"/>
      <c r="U375" s="610" t="s">
        <v>601</v>
      </c>
      <c r="V375" s="860">
        <f>L375+(F375-1)*S375</f>
        <v>0</v>
      </c>
      <c r="W375" s="860"/>
      <c r="X375" s="610"/>
      <c r="Y375" s="610"/>
      <c r="Z375" s="610"/>
      <c r="AA375" s="610"/>
      <c r="AB375" s="610"/>
      <c r="AC375" s="610"/>
      <c r="AD375" s="610"/>
      <c r="AE375" s="610"/>
      <c r="AF375" s="610"/>
      <c r="AG375" s="610"/>
      <c r="AH375" s="610"/>
      <c r="AI375" s="610"/>
      <c r="AJ375" s="610"/>
      <c r="AK375" s="610"/>
      <c r="AL375" s="610"/>
    </row>
    <row r="376" spans="1:38" ht="14.25" customHeight="1">
      <c r="A376" s="6"/>
      <c r="B376" s="610"/>
      <c r="C376" s="610"/>
      <c r="D376" s="611"/>
      <c r="E376" s="654" t="s">
        <v>678</v>
      </c>
      <c r="F376" s="631" t="s">
        <v>601</v>
      </c>
      <c r="G376" s="610"/>
      <c r="H376" s="611"/>
      <c r="I376" s="631"/>
      <c r="J376" s="631"/>
      <c r="K376" s="631"/>
      <c r="L376" s="611"/>
      <c r="M376" s="631"/>
      <c r="N376" s="631"/>
      <c r="O376" s="610" t="s">
        <v>601</v>
      </c>
      <c r="P376" s="849">
        <f>1-(2*(V375)*TAN(RADIANS(45-Q92/2)))/F5</f>
        <v>1</v>
      </c>
      <c r="Q376" s="849"/>
      <c r="R376" s="655"/>
      <c r="S376" s="610"/>
      <c r="T376" s="611"/>
      <c r="U376" s="636"/>
      <c r="V376" s="636"/>
      <c r="W376" s="636"/>
      <c r="X376" s="610"/>
      <c r="Y376" s="610"/>
      <c r="Z376" s="610"/>
      <c r="AA376" s="610"/>
      <c r="AB376" s="610"/>
      <c r="AC376" s="610"/>
      <c r="AD376" s="610"/>
      <c r="AE376" s="610"/>
      <c r="AF376" s="610"/>
      <c r="AG376" s="610"/>
      <c r="AH376" s="610"/>
      <c r="AI376" s="610"/>
      <c r="AJ376" s="610"/>
      <c r="AK376" s="610"/>
      <c r="AL376" s="610"/>
    </row>
    <row r="377" spans="1:38" ht="14.25" customHeight="1">
      <c r="A377" s="6"/>
      <c r="B377" s="610"/>
      <c r="C377" s="610"/>
      <c r="D377" s="610"/>
      <c r="E377" s="610"/>
      <c r="F377" s="610"/>
      <c r="G377" s="610"/>
      <c r="H377" s="610"/>
      <c r="I377" s="610"/>
      <c r="J377" s="610"/>
      <c r="K377" s="611"/>
      <c r="L377" s="658"/>
      <c r="M377" s="611"/>
      <c r="N377" s="611"/>
      <c r="O377" s="611"/>
      <c r="P377" s="611"/>
      <c r="Q377" s="611"/>
      <c r="R377" s="611"/>
      <c r="S377" s="611"/>
      <c r="T377" s="645"/>
      <c r="U377" s="645"/>
      <c r="V377" s="645"/>
      <c r="W377" s="610"/>
      <c r="X377" s="610"/>
      <c r="Y377" s="610"/>
      <c r="Z377" s="610"/>
      <c r="AA377" s="610"/>
      <c r="AB377" s="610"/>
      <c r="AC377" s="610"/>
      <c r="AD377" s="610"/>
      <c r="AE377" s="610"/>
      <c r="AF377" s="610"/>
      <c r="AG377" s="610"/>
      <c r="AH377" s="610"/>
      <c r="AI377" s="610"/>
      <c r="AJ377" s="610"/>
      <c r="AK377" s="610"/>
      <c r="AL377" s="610"/>
    </row>
    <row r="378" spans="1:38" ht="13.5" customHeight="1">
      <c r="A378" s="6"/>
      <c r="B378" s="610"/>
      <c r="C378" s="610"/>
      <c r="D378" s="610"/>
      <c r="E378" s="654" t="s">
        <v>678</v>
      </c>
      <c r="F378" s="631" t="s">
        <v>601</v>
      </c>
      <c r="G378" s="610"/>
      <c r="H378" s="611"/>
      <c r="I378" s="631"/>
      <c r="J378" s="631"/>
      <c r="K378" s="631"/>
      <c r="L378" s="611"/>
      <c r="M378" s="631"/>
      <c r="N378" s="631"/>
      <c r="O378" s="610" t="s">
        <v>601</v>
      </c>
      <c r="P378" s="849">
        <f>0.5-((V375)/(2*$R$354))</f>
        <v>0.5</v>
      </c>
      <c r="Q378" s="849"/>
      <c r="R378" s="655"/>
      <c r="S378" s="610"/>
      <c r="T378" s="645"/>
      <c r="U378" s="645"/>
      <c r="V378" s="645"/>
      <c r="W378" s="610"/>
      <c r="X378" s="610"/>
      <c r="Y378" s="610"/>
      <c r="Z378" s="610"/>
      <c r="AA378" s="610"/>
      <c r="AB378" s="610"/>
      <c r="AC378" s="610"/>
      <c r="AD378" s="610"/>
      <c r="AE378" s="610"/>
      <c r="AF378" s="610"/>
      <c r="AG378" s="610"/>
      <c r="AH378" s="610"/>
      <c r="AI378" s="610"/>
      <c r="AJ378" s="610"/>
      <c r="AK378" s="610"/>
      <c r="AL378" s="610"/>
    </row>
    <row r="379" spans="1:38" ht="13.5" customHeight="1">
      <c r="A379" s="6"/>
      <c r="B379" s="610"/>
      <c r="C379" s="610"/>
      <c r="D379" s="610"/>
      <c r="E379" s="610"/>
      <c r="F379" s="610"/>
      <c r="G379" s="610"/>
      <c r="H379" s="610"/>
      <c r="I379" s="610"/>
      <c r="J379" s="610"/>
      <c r="K379" s="611"/>
      <c r="L379" s="658"/>
      <c r="M379" s="611"/>
      <c r="N379" s="611"/>
      <c r="O379" s="611"/>
      <c r="P379" s="611"/>
      <c r="Q379" s="611"/>
      <c r="R379" s="611"/>
      <c r="S379" s="611"/>
      <c r="T379" s="645"/>
      <c r="U379" s="645"/>
      <c r="V379" s="645"/>
      <c r="W379" s="610"/>
      <c r="X379" s="610"/>
      <c r="Y379" s="610"/>
      <c r="Z379" s="610"/>
      <c r="AA379" s="610"/>
      <c r="AB379" s="610"/>
      <c r="AC379" s="610"/>
      <c r="AD379" s="610"/>
      <c r="AE379" s="610"/>
      <c r="AF379" s="610"/>
      <c r="AG379" s="610"/>
      <c r="AH379" s="610"/>
      <c r="AI379" s="610"/>
      <c r="AJ379" s="610"/>
      <c r="AK379" s="610"/>
      <c r="AL379" s="610"/>
    </row>
    <row r="380" spans="1:38" ht="13.5" customHeight="1">
      <c r="A380" s="6"/>
      <c r="B380" s="610"/>
      <c r="C380" s="610"/>
      <c r="D380" s="610"/>
      <c r="E380" s="652" t="s">
        <v>686</v>
      </c>
      <c r="F380" s="610"/>
      <c r="G380" s="610"/>
      <c r="H380" s="610"/>
      <c r="I380" s="610"/>
      <c r="J380" s="610"/>
      <c r="K380" s="611"/>
      <c r="L380" s="658"/>
      <c r="M380" s="611"/>
      <c r="N380" s="611" t="s">
        <v>601</v>
      </c>
      <c r="O380" s="619">
        <v>12</v>
      </c>
      <c r="P380" s="659" t="s">
        <v>622</v>
      </c>
      <c r="Q380" s="619">
        <f>+U340</f>
        <v>75</v>
      </c>
      <c r="R380" s="659" t="s">
        <v>622</v>
      </c>
      <c r="S380" s="986">
        <f>V375</f>
        <v>0</v>
      </c>
      <c r="T380" s="986"/>
      <c r="U380" s="659" t="s">
        <v>622</v>
      </c>
      <c r="V380" s="987">
        <f>IF(V375&lt;$T$352,P376,P378)</f>
        <v>1</v>
      </c>
      <c r="W380" s="987"/>
      <c r="X380" s="610"/>
      <c r="Y380" s="610"/>
      <c r="Z380" s="610"/>
      <c r="AA380" s="610"/>
      <c r="AB380" s="610"/>
      <c r="AC380" s="610"/>
      <c r="AD380" s="610"/>
      <c r="AE380" s="610"/>
      <c r="AF380" s="610"/>
      <c r="AG380" s="610"/>
      <c r="AH380" s="610"/>
      <c r="AI380" s="610"/>
      <c r="AJ380" s="610"/>
      <c r="AK380" s="610"/>
      <c r="AL380" s="610"/>
    </row>
    <row r="381" spans="1:38" ht="13.5" customHeight="1">
      <c r="A381" s="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1"/>
      <c r="L381" s="658"/>
      <c r="M381" s="611"/>
      <c r="N381" s="611"/>
      <c r="O381" s="611"/>
      <c r="P381" s="611"/>
      <c r="Q381" s="611"/>
      <c r="R381" s="611">
        <f>+$F$5^2</f>
        <v>14.44</v>
      </c>
      <c r="S381" s="611"/>
      <c r="T381" s="645"/>
      <c r="U381" s="645"/>
      <c r="V381" s="645"/>
      <c r="W381" s="610"/>
      <c r="X381" s="610"/>
      <c r="Y381" s="610"/>
      <c r="Z381" s="610"/>
      <c r="AA381" s="610"/>
      <c r="AB381" s="610"/>
      <c r="AC381" s="610"/>
      <c r="AD381" s="610"/>
      <c r="AE381" s="610"/>
      <c r="AF381" s="610"/>
      <c r="AG381" s="610"/>
      <c r="AH381" s="610"/>
      <c r="AI381" s="610"/>
      <c r="AJ381" s="610"/>
      <c r="AK381" s="610"/>
      <c r="AL381" s="610"/>
    </row>
    <row r="382" spans="1:38" ht="13.5" customHeight="1">
      <c r="A382" s="6"/>
      <c r="B382" s="610"/>
      <c r="C382" s="610"/>
      <c r="D382" s="610"/>
      <c r="E382" s="610"/>
      <c r="F382" s="610"/>
      <c r="G382" s="610"/>
      <c r="H382" s="610"/>
      <c r="I382" s="610"/>
      <c r="J382" s="610"/>
      <c r="K382" s="611"/>
      <c r="L382" s="658"/>
      <c r="M382" s="611"/>
      <c r="N382" s="611" t="s">
        <v>601</v>
      </c>
      <c r="O382" s="988">
        <f>IF(OR($F$5&lt;2,$F$5=2),(O380*Q380*S380*V380/R381)/10,O380*Q380*S380*V380/R381)</f>
        <v>0</v>
      </c>
      <c r="P382" s="988"/>
      <c r="Q382" s="988"/>
      <c r="R382" s="610" t="s">
        <v>624</v>
      </c>
      <c r="S382" s="611"/>
      <c r="T382" s="645"/>
      <c r="U382" s="645"/>
      <c r="V382" s="645"/>
      <c r="W382" s="610"/>
      <c r="X382" s="610"/>
      <c r="Y382" s="610"/>
      <c r="Z382" s="610"/>
      <c r="AA382" s="610"/>
      <c r="AB382" s="610"/>
      <c r="AC382" s="610"/>
      <c r="AD382" s="610"/>
      <c r="AE382" s="610"/>
      <c r="AF382" s="610"/>
      <c r="AG382" s="610"/>
      <c r="AH382" s="610"/>
      <c r="AI382" s="610"/>
      <c r="AJ382" s="610"/>
      <c r="AK382" s="610"/>
      <c r="AL382" s="610"/>
    </row>
    <row r="383" spans="1:38" ht="13.5" customHeight="1">
      <c r="A383" s="6"/>
      <c r="B383" s="610"/>
      <c r="C383" s="610"/>
      <c r="D383" s="610"/>
      <c r="E383" s="610"/>
      <c r="F383" s="610"/>
      <c r="G383" s="610"/>
      <c r="H383" s="610"/>
      <c r="I383" s="610"/>
      <c r="J383" s="610"/>
      <c r="K383" s="611"/>
      <c r="L383" s="658"/>
      <c r="M383" s="611"/>
      <c r="N383" s="611"/>
      <c r="O383" s="611"/>
      <c r="P383" s="611"/>
      <c r="Q383" s="611"/>
      <c r="R383" s="611"/>
      <c r="S383" s="611"/>
      <c r="T383" s="645"/>
      <c r="U383" s="645"/>
      <c r="V383" s="645"/>
      <c r="W383" s="610"/>
      <c r="X383" s="610"/>
      <c r="Y383" s="610"/>
      <c r="Z383" s="610"/>
      <c r="AA383" s="610"/>
      <c r="AB383" s="610"/>
      <c r="AC383" s="610"/>
      <c r="AD383" s="610"/>
      <c r="AE383" s="610"/>
      <c r="AF383" s="610"/>
      <c r="AG383" s="610"/>
      <c r="AH383" s="610"/>
      <c r="AI383" s="610"/>
      <c r="AJ383" s="610"/>
      <c r="AK383" s="610"/>
      <c r="AL383" s="610"/>
    </row>
    <row r="384" spans="1:38" ht="17.25" customHeight="1">
      <c r="A384" s="6"/>
      <c r="B384" s="610"/>
      <c r="C384" s="610"/>
      <c r="D384" s="610"/>
      <c r="E384" s="652" t="s">
        <v>687</v>
      </c>
      <c r="F384" s="610" t="s">
        <v>601</v>
      </c>
      <c r="G384" s="660" t="s">
        <v>688</v>
      </c>
      <c r="H384" s="610"/>
      <c r="I384" s="610" t="s">
        <v>623</v>
      </c>
      <c r="J384" s="652" t="s">
        <v>689</v>
      </c>
      <c r="K384" s="611"/>
      <c r="L384" s="610" t="s">
        <v>623</v>
      </c>
      <c r="M384" s="652" t="s">
        <v>690</v>
      </c>
      <c r="N384" s="611"/>
      <c r="O384" s="611"/>
      <c r="P384" s="661"/>
      <c r="Q384" s="661"/>
      <c r="R384" s="611" t="s">
        <v>601</v>
      </c>
      <c r="S384" s="988">
        <f>O364+O373+O382</f>
        <v>27.766509274896254</v>
      </c>
      <c r="T384" s="848"/>
      <c r="U384" s="848"/>
      <c r="V384" s="610" t="s">
        <v>624</v>
      </c>
      <c r="W384" s="610"/>
      <c r="X384" s="610"/>
      <c r="Y384" s="610"/>
      <c r="Z384" s="610"/>
      <c r="AA384" s="610"/>
      <c r="AB384" s="610"/>
      <c r="AC384" s="610"/>
      <c r="AD384" s="610"/>
      <c r="AE384" s="610"/>
      <c r="AF384" s="610"/>
      <c r="AG384" s="610"/>
      <c r="AH384" s="610"/>
      <c r="AI384" s="610"/>
      <c r="AJ384" s="610"/>
      <c r="AK384" s="610"/>
      <c r="AL384" s="610"/>
    </row>
    <row r="385" spans="1:53" ht="13.5" customHeight="1">
      <c r="A385" s="6"/>
      <c r="B385" s="610"/>
      <c r="C385" s="610"/>
      <c r="D385" s="610"/>
      <c r="E385" s="652"/>
      <c r="F385" s="610"/>
      <c r="G385" s="652"/>
      <c r="H385" s="610"/>
      <c r="I385" s="610"/>
      <c r="J385" s="652"/>
      <c r="K385" s="611"/>
      <c r="L385" s="658"/>
      <c r="M385" s="656"/>
      <c r="N385" s="656"/>
      <c r="O385" s="611"/>
      <c r="P385" s="656"/>
      <c r="Q385" s="656"/>
      <c r="R385" s="611"/>
      <c r="S385" s="656"/>
      <c r="T385" s="611"/>
      <c r="U385" s="611"/>
      <c r="V385" s="610"/>
      <c r="W385" s="610"/>
      <c r="X385" s="610"/>
      <c r="Y385" s="610"/>
      <c r="Z385" s="610"/>
      <c r="AA385" s="610"/>
      <c r="AB385" s="610"/>
      <c r="AC385" s="610"/>
      <c r="AD385" s="610"/>
      <c r="AE385" s="610"/>
      <c r="AF385" s="610"/>
      <c r="AG385" s="610"/>
      <c r="AH385" s="610"/>
      <c r="AI385" s="610"/>
      <c r="AJ385" s="610"/>
      <c r="AK385" s="610"/>
      <c r="AL385" s="610"/>
    </row>
    <row r="386" spans="1:53" ht="19.5" customHeight="1">
      <c r="A386" s="6"/>
      <c r="B386" s="610"/>
      <c r="C386" s="610"/>
      <c r="D386" s="610"/>
      <c r="E386" s="652" t="s">
        <v>691</v>
      </c>
      <c r="F386" s="610"/>
      <c r="G386" s="610" t="s">
        <v>601</v>
      </c>
      <c r="H386" s="652" t="s">
        <v>687</v>
      </c>
      <c r="I386" s="610" t="s">
        <v>692</v>
      </c>
      <c r="J386" s="610" t="s">
        <v>693</v>
      </c>
      <c r="K386" s="610" t="s">
        <v>601</v>
      </c>
      <c r="L386" s="988">
        <f>S384</f>
        <v>27.766509274896254</v>
      </c>
      <c r="M386" s="848"/>
      <c r="N386" s="848"/>
      <c r="O386" s="610" t="s">
        <v>692</v>
      </c>
      <c r="P386" s="610">
        <v>3</v>
      </c>
      <c r="Q386" s="610"/>
      <c r="R386" s="610" t="s">
        <v>601</v>
      </c>
      <c r="S386" s="989">
        <f>ROUND(L386/P386,1)</f>
        <v>9.3000000000000007</v>
      </c>
      <c r="T386" s="990"/>
      <c r="U386" s="990"/>
      <c r="V386" s="610" t="s">
        <v>624</v>
      </c>
      <c r="W386" s="610"/>
      <c r="X386" s="610"/>
      <c r="Y386" s="610"/>
      <c r="Z386" s="610"/>
      <c r="AA386" s="610"/>
      <c r="AB386" s="239"/>
    </row>
    <row r="387" spans="1:53" ht="19.5" customHeight="1">
      <c r="A387" s="6"/>
      <c r="B387" s="77"/>
      <c r="C387" s="76"/>
      <c r="D387" s="76"/>
      <c r="E387" s="76"/>
      <c r="F387" s="219"/>
      <c r="G387" s="219"/>
      <c r="H387" s="76"/>
      <c r="I387" s="222"/>
      <c r="J387" s="222"/>
      <c r="K387" s="222"/>
      <c r="L387" s="76"/>
      <c r="M387" s="76"/>
      <c r="N387" s="76"/>
      <c r="O387" s="76"/>
      <c r="P387" s="76"/>
      <c r="Q387" s="76"/>
      <c r="R387" s="76"/>
      <c r="S387" s="76"/>
      <c r="T387" s="221"/>
      <c r="U387" s="76"/>
      <c r="V387" s="76"/>
      <c r="W387" s="76"/>
      <c r="X387" s="76"/>
      <c r="Y387" s="76"/>
      <c r="Z387" s="77"/>
      <c r="AA387" s="77"/>
      <c r="AB387" s="239"/>
    </row>
    <row r="388" spans="1:53" ht="19.5" customHeight="1">
      <c r="A388" s="6"/>
      <c r="B388" s="77"/>
      <c r="C388" s="76"/>
      <c r="D388" s="76"/>
      <c r="E388" s="76"/>
      <c r="F388" s="219"/>
      <c r="G388" s="219"/>
      <c r="H388" s="76"/>
      <c r="I388" s="222"/>
      <c r="J388" s="222"/>
      <c r="K388" s="222"/>
      <c r="L388" s="76"/>
      <c r="M388" s="76"/>
      <c r="N388" s="76"/>
      <c r="O388" s="76"/>
      <c r="P388" s="76"/>
      <c r="Q388" s="76"/>
      <c r="R388" s="76"/>
      <c r="S388" s="76"/>
      <c r="T388" s="221"/>
      <c r="U388" s="76"/>
      <c r="V388" s="76"/>
      <c r="W388" s="76"/>
      <c r="X388" s="76"/>
      <c r="Y388" s="76"/>
      <c r="Z388" s="77"/>
      <c r="AA388" s="77"/>
      <c r="AB388" s="239"/>
    </row>
    <row r="389" spans="1:53" ht="19.5" customHeight="1" thickBot="1">
      <c r="A389" s="6"/>
      <c r="B389" s="77"/>
      <c r="C389" s="76"/>
      <c r="D389" s="76"/>
      <c r="E389" s="76"/>
      <c r="F389" s="219"/>
      <c r="G389" s="219"/>
      <c r="H389" s="76"/>
      <c r="I389" s="222"/>
      <c r="J389" s="222"/>
      <c r="K389" s="222"/>
      <c r="L389" s="76"/>
      <c r="M389" s="76"/>
      <c r="N389" s="76"/>
      <c r="O389" s="76"/>
      <c r="P389" s="76"/>
      <c r="Q389" s="76"/>
      <c r="R389" s="76"/>
      <c r="S389" s="76"/>
      <c r="T389" s="221"/>
      <c r="U389" s="76"/>
      <c r="V389" s="76"/>
      <c r="W389" s="76"/>
      <c r="X389" s="76"/>
      <c r="Y389" s="76"/>
      <c r="Z389" s="77"/>
      <c r="AA389" s="77"/>
      <c r="AB389" s="239"/>
    </row>
    <row r="390" spans="1:53" ht="21.75" customHeight="1" thickBot="1">
      <c r="A390" s="6"/>
      <c r="B390" s="700" t="s">
        <v>697</v>
      </c>
      <c r="C390" s="701"/>
      <c r="D390" s="701"/>
      <c r="E390" s="702"/>
      <c r="F390" s="703"/>
      <c r="G390" s="703"/>
      <c r="H390" s="703"/>
      <c r="I390" s="704"/>
      <c r="J390" s="705"/>
      <c r="K390" s="705"/>
      <c r="L390" s="704"/>
      <c r="M390" s="703"/>
      <c r="N390" s="703"/>
      <c r="O390" s="703"/>
      <c r="P390" s="704"/>
      <c r="Q390" s="704"/>
      <c r="R390" s="704"/>
      <c r="S390" s="704"/>
      <c r="T390" s="704"/>
      <c r="U390" s="704"/>
      <c r="V390" s="704"/>
      <c r="W390" s="704"/>
      <c r="X390" s="704"/>
      <c r="Y390" s="704"/>
      <c r="Z390" s="77"/>
      <c r="AA390" s="77"/>
      <c r="AB390" s="77"/>
    </row>
    <row r="391" spans="1:53" ht="21.75" customHeight="1">
      <c r="A391" s="6"/>
      <c r="B391" s="74"/>
      <c r="C391" s="74"/>
      <c r="D391" s="74"/>
      <c r="E391" s="73"/>
      <c r="F391" s="221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7"/>
      <c r="AA391" s="77"/>
      <c r="AB391" s="77"/>
    </row>
    <row r="392" spans="1:53" ht="21.75" customHeight="1">
      <c r="A392" s="6"/>
      <c r="B392" s="991" t="s">
        <v>698</v>
      </c>
      <c r="C392" s="992"/>
      <c r="D392" s="992"/>
      <c r="E392" s="997" t="s">
        <v>699</v>
      </c>
      <c r="F392" s="997"/>
      <c r="G392" s="997"/>
      <c r="H392" s="997"/>
      <c r="I392" s="997"/>
      <c r="J392" s="997"/>
      <c r="K392" s="997"/>
      <c r="L392" s="997"/>
      <c r="M392" s="997"/>
      <c r="N392" s="992" t="s">
        <v>700</v>
      </c>
      <c r="O392" s="992"/>
      <c r="P392" s="992"/>
      <c r="Q392" s="992" t="s">
        <v>701</v>
      </c>
      <c r="R392" s="992"/>
      <c r="S392" s="992"/>
      <c r="T392" s="992" t="s">
        <v>861</v>
      </c>
      <c r="U392" s="992"/>
      <c r="V392" s="992"/>
      <c r="W392" s="992" t="s">
        <v>702</v>
      </c>
      <c r="X392" s="992"/>
      <c r="Y392" s="995"/>
      <c r="Z392" s="77"/>
      <c r="AA392" s="77"/>
      <c r="AB392" s="77"/>
    </row>
    <row r="393" spans="1:53" ht="25.5" customHeight="1" thickBot="1">
      <c r="A393" s="6"/>
      <c r="B393" s="993"/>
      <c r="C393" s="994"/>
      <c r="D393" s="994"/>
      <c r="E393" s="902" t="s">
        <v>703</v>
      </c>
      <c r="F393" s="902"/>
      <c r="G393" s="902"/>
      <c r="H393" s="902" t="s">
        <v>704</v>
      </c>
      <c r="I393" s="902"/>
      <c r="J393" s="902"/>
      <c r="K393" s="994" t="s">
        <v>811</v>
      </c>
      <c r="L393" s="994"/>
      <c r="M393" s="994"/>
      <c r="N393" s="994"/>
      <c r="O393" s="994"/>
      <c r="P393" s="994"/>
      <c r="Q393" s="994"/>
      <c r="R393" s="994"/>
      <c r="S393" s="994"/>
      <c r="T393" s="994"/>
      <c r="U393" s="994"/>
      <c r="V393" s="994"/>
      <c r="W393" s="994"/>
      <c r="X393" s="994"/>
      <c r="Y393" s="996"/>
      <c r="Z393" s="77"/>
      <c r="AA393" s="77"/>
      <c r="AB393" s="214"/>
    </row>
    <row r="394" spans="1:53" ht="21.75" customHeight="1" thickTop="1">
      <c r="A394" s="224"/>
      <c r="B394" s="982" t="s">
        <v>705</v>
      </c>
      <c r="C394" s="983"/>
      <c r="D394" s="983"/>
      <c r="E394" s="984">
        <f>+M253</f>
        <v>90</v>
      </c>
      <c r="F394" s="984"/>
      <c r="G394" s="984"/>
      <c r="H394" s="984">
        <f>+N289</f>
        <v>94</v>
      </c>
      <c r="I394" s="984"/>
      <c r="J394" s="984"/>
      <c r="K394" s="984">
        <f>+M330</f>
        <v>166.5</v>
      </c>
      <c r="L394" s="984"/>
      <c r="M394" s="984"/>
      <c r="N394" s="984">
        <f>+S386</f>
        <v>9.3000000000000007</v>
      </c>
      <c r="O394" s="984"/>
      <c r="P394" s="984"/>
      <c r="Q394" s="983">
        <f>MIN(E394:M394)+N394</f>
        <v>99.3</v>
      </c>
      <c r="R394" s="983"/>
      <c r="S394" s="983"/>
      <c r="T394" s="983">
        <f>+X97</f>
        <v>94.5</v>
      </c>
      <c r="U394" s="983"/>
      <c r="V394" s="983"/>
      <c r="W394" s="983" t="str">
        <f>IF(Q394&lt;T394, "불 안 정", "안     정")</f>
        <v>안     정</v>
      </c>
      <c r="X394" s="983"/>
      <c r="Y394" s="985"/>
      <c r="Z394" s="85"/>
      <c r="AA394" s="85"/>
      <c r="AB394" s="77"/>
    </row>
    <row r="395" spans="1:53" ht="21.75" customHeight="1">
      <c r="A395" s="224"/>
      <c r="B395" s="94"/>
      <c r="C395" s="94"/>
      <c r="D395" s="94"/>
      <c r="E395" s="225"/>
      <c r="F395" s="226"/>
      <c r="G395" s="226"/>
      <c r="H395" s="227"/>
      <c r="I395" s="227"/>
      <c r="J395" s="227"/>
      <c r="K395" s="225"/>
      <c r="L395" s="225"/>
      <c r="M395" s="225"/>
      <c r="N395" s="225"/>
      <c r="O395" s="225"/>
      <c r="P395" s="225"/>
      <c r="Q395" s="22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77"/>
    </row>
    <row r="396" spans="1:53" ht="21.75" customHeight="1">
      <c r="A396" s="224"/>
      <c r="B396" s="94"/>
      <c r="C396" s="228"/>
      <c r="D396" s="228"/>
      <c r="E396" s="228"/>
      <c r="F396" s="228"/>
      <c r="G396" s="229"/>
      <c r="H396" s="230"/>
      <c r="I396" s="230"/>
      <c r="J396" s="230"/>
      <c r="K396" s="231"/>
      <c r="L396" s="232"/>
      <c r="M396" s="232"/>
      <c r="N396" s="228"/>
      <c r="O396" s="233"/>
      <c r="P396" s="233"/>
      <c r="Q396" s="233"/>
      <c r="R396" s="234"/>
      <c r="S396" s="234"/>
      <c r="T396" s="235"/>
      <c r="U396" s="235"/>
      <c r="V396" s="235"/>
      <c r="W396" s="85"/>
      <c r="X396" s="85"/>
      <c r="Y396" s="85"/>
      <c r="Z396" s="85"/>
      <c r="AA396" s="85"/>
      <c r="AB396" s="77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</row>
    <row r="397" spans="1:53" ht="21.75" customHeight="1">
      <c r="A397" s="130"/>
      <c r="B397" s="1314" t="s">
        <v>863</v>
      </c>
      <c r="C397" s="1314"/>
      <c r="D397" s="1314"/>
      <c r="E397" s="1314"/>
      <c r="F397" s="1314"/>
      <c r="G397" s="1314"/>
      <c r="H397" s="1314"/>
      <c r="I397" s="1314"/>
      <c r="J397" s="1314"/>
      <c r="K397" s="1314"/>
      <c r="L397" s="1314"/>
      <c r="M397" s="1314"/>
      <c r="N397" s="1314"/>
      <c r="O397" s="1314"/>
      <c r="P397" s="1314"/>
      <c r="Q397" s="1314"/>
      <c r="R397" s="1314"/>
      <c r="S397" s="1315">
        <f>+Q394</f>
        <v>99.3</v>
      </c>
      <c r="T397" s="1315"/>
      <c r="U397" s="1315"/>
      <c r="V397" s="1315"/>
      <c r="W397" s="1315"/>
      <c r="X397" s="1315"/>
      <c r="Y397" s="1315"/>
      <c r="Z397" s="1315"/>
      <c r="AA397" s="236"/>
      <c r="AB397" s="77"/>
      <c r="AD397" s="11"/>
      <c r="AE397" s="12"/>
      <c r="AF397" s="13"/>
      <c r="AG397" s="13"/>
      <c r="AT397" s="13"/>
    </row>
    <row r="398" spans="1:53" ht="21.75" customHeight="1">
      <c r="A398" s="130"/>
      <c r="B398" s="1316" t="s">
        <v>862</v>
      </c>
      <c r="C398" s="1316"/>
      <c r="D398" s="1316"/>
      <c r="E398" s="1316"/>
      <c r="F398" s="1316"/>
      <c r="G398" s="1316"/>
      <c r="H398" s="1316"/>
      <c r="I398" s="1316"/>
      <c r="J398" s="1316"/>
      <c r="K398" s="1316"/>
      <c r="L398" s="1316"/>
      <c r="M398" s="1316"/>
      <c r="N398" s="1316"/>
      <c r="O398" s="1316"/>
      <c r="P398" s="1316"/>
      <c r="Q398" s="1316"/>
      <c r="R398" s="1316"/>
      <c r="S398" s="1317">
        <f>+X97</f>
        <v>94.5</v>
      </c>
      <c r="T398" s="1317"/>
      <c r="U398" s="1317"/>
      <c r="V398" s="1317"/>
      <c r="W398" s="1317"/>
      <c r="X398" s="1317"/>
      <c r="Y398" s="1317"/>
      <c r="Z398" s="1317"/>
      <c r="AA398" s="237"/>
      <c r="AB398" s="77"/>
      <c r="AD398" s="11"/>
      <c r="AE398" s="12"/>
      <c r="AF398" s="13"/>
      <c r="AG398" s="13"/>
      <c r="AS398" s="14"/>
      <c r="AT398" s="13"/>
    </row>
    <row r="399" spans="1:53" ht="21.75" customHeight="1">
      <c r="A399" s="130"/>
      <c r="B399" s="1318" t="s">
        <v>864</v>
      </c>
      <c r="C399" s="1318"/>
      <c r="D399" s="1318"/>
      <c r="E399" s="1318"/>
      <c r="F399" s="1318"/>
      <c r="G399" s="1318"/>
      <c r="H399" s="1318"/>
      <c r="I399" s="1318"/>
      <c r="J399" s="1318"/>
      <c r="K399" s="1318"/>
      <c r="L399" s="1318"/>
      <c r="M399" s="1318"/>
      <c r="N399" s="1318"/>
      <c r="O399" s="1318"/>
      <c r="P399" s="1318"/>
      <c r="Q399" s="1318"/>
      <c r="R399" s="1318"/>
      <c r="S399" s="1318" t="str">
        <f>IF(S397 &gt;= S398, "O.K", "N.G")</f>
        <v>O.K</v>
      </c>
      <c r="T399" s="1318"/>
      <c r="U399" s="1318"/>
      <c r="V399" s="1318"/>
      <c r="W399" s="1318"/>
      <c r="X399" s="1318"/>
      <c r="Y399" s="1318"/>
      <c r="Z399" s="1318"/>
      <c r="AA399" s="238"/>
      <c r="AB399" s="77"/>
      <c r="AD399" s="11"/>
      <c r="AE399" s="12"/>
      <c r="AF399" s="13"/>
      <c r="AG399" s="13"/>
      <c r="AS399" s="14"/>
      <c r="AT399" s="13"/>
    </row>
    <row r="400" spans="1:53" ht="16.5" customHeight="1">
      <c r="A400" s="130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77"/>
      <c r="AD400" s="11"/>
      <c r="AE400" s="12"/>
      <c r="AF400" s="13"/>
      <c r="AG400" s="13"/>
      <c r="AS400" s="14"/>
      <c r="AT400" s="13"/>
      <c r="AU400" s="241"/>
      <c r="AV400" s="241"/>
      <c r="AX400" s="3"/>
      <c r="AY400" s="3"/>
      <c r="AZ400" s="5"/>
      <c r="BA400" s="5"/>
    </row>
    <row r="401" spans="1:62" ht="16.5" customHeight="1">
      <c r="A401" s="224"/>
      <c r="B401" s="94"/>
      <c r="C401" s="228"/>
      <c r="D401" s="228"/>
      <c r="E401" s="228"/>
      <c r="F401" s="228"/>
      <c r="G401" s="229"/>
      <c r="H401" s="230"/>
      <c r="I401" s="230"/>
      <c r="J401" s="230"/>
      <c r="K401" s="231"/>
      <c r="L401" s="232"/>
      <c r="M401" s="232"/>
      <c r="N401" s="228"/>
      <c r="O401" s="233"/>
      <c r="P401" s="233"/>
      <c r="Q401" s="233"/>
      <c r="R401" s="234"/>
      <c r="S401" s="234"/>
      <c r="T401" s="235"/>
      <c r="U401" s="235"/>
      <c r="V401" s="235"/>
      <c r="W401" s="85"/>
      <c r="X401" s="85"/>
      <c r="Y401" s="85"/>
      <c r="Z401" s="85"/>
      <c r="AA401" s="85"/>
      <c r="AB401" s="85"/>
      <c r="AD401" s="499"/>
      <c r="AE401" s="500"/>
      <c r="AF401" s="501"/>
      <c r="AG401" s="501"/>
      <c r="AH401" s="452"/>
      <c r="AI401" s="452"/>
      <c r="AJ401" s="452"/>
      <c r="AS401" s="14"/>
      <c r="AT401" s="13"/>
      <c r="AU401" s="13"/>
      <c r="AV401" s="13"/>
      <c r="AW401" s="13"/>
      <c r="AX401" s="15"/>
      <c r="AY401" s="16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</row>
    <row r="402" spans="1:62" ht="16.5" customHeight="1">
      <c r="A402" s="224"/>
      <c r="B402" s="94"/>
      <c r="C402" s="228"/>
      <c r="D402" s="228"/>
      <c r="E402" s="228"/>
      <c r="F402" s="228"/>
      <c r="G402" s="229"/>
      <c r="H402" s="230"/>
      <c r="I402" s="230"/>
      <c r="J402" s="230"/>
      <c r="K402" s="231"/>
      <c r="L402" s="232"/>
      <c r="M402" s="232"/>
      <c r="N402" s="228"/>
      <c r="O402" s="233"/>
      <c r="P402" s="233"/>
      <c r="Q402" s="233"/>
      <c r="R402" s="234"/>
      <c r="S402" s="234"/>
      <c r="T402" s="235"/>
      <c r="U402" s="235"/>
      <c r="V402" s="235"/>
      <c r="W402" s="85"/>
      <c r="X402" s="85"/>
      <c r="Y402" s="85"/>
      <c r="Z402" s="85"/>
      <c r="AA402" s="85"/>
      <c r="AB402" s="85"/>
      <c r="AD402" s="499"/>
      <c r="AE402" s="500"/>
      <c r="AF402" s="501"/>
      <c r="AG402" s="501"/>
      <c r="AH402" s="452"/>
      <c r="AI402" s="452"/>
      <c r="AJ402" s="452"/>
      <c r="AS402" s="14"/>
      <c r="AT402" s="13"/>
      <c r="AU402" s="13"/>
      <c r="AV402" s="13"/>
      <c r="AW402" s="13"/>
      <c r="AX402" s="15"/>
      <c r="AY402" s="16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</row>
    <row r="403" spans="1:62" ht="16.5" customHeight="1">
      <c r="A403" s="224"/>
      <c r="B403" s="245" t="s">
        <v>261</v>
      </c>
      <c r="C403" s="228"/>
      <c r="D403" s="228"/>
      <c r="E403" s="228"/>
      <c r="F403" s="228"/>
      <c r="G403" s="229"/>
      <c r="H403" s="230"/>
      <c r="I403" s="230"/>
      <c r="J403" s="230"/>
      <c r="K403" s="231"/>
      <c r="L403" s="232"/>
      <c r="M403" s="232"/>
      <c r="N403" s="228"/>
      <c r="O403" s="233"/>
      <c r="P403" s="233"/>
      <c r="Q403" s="233"/>
      <c r="R403" s="234"/>
      <c r="S403" s="234"/>
      <c r="T403" s="235"/>
      <c r="U403" s="235"/>
      <c r="V403" s="235"/>
      <c r="W403" s="85"/>
      <c r="X403" s="85"/>
      <c r="Y403" s="85"/>
      <c r="Z403" s="85"/>
      <c r="AA403" s="85"/>
      <c r="AB403" s="85"/>
      <c r="AD403" s="499"/>
      <c r="AE403" s="500"/>
      <c r="AF403" s="501"/>
      <c r="AG403" s="501"/>
      <c r="AH403" s="452"/>
      <c r="AI403" s="452"/>
      <c r="AJ403" s="452"/>
      <c r="AS403" s="14"/>
      <c r="AT403" s="13"/>
      <c r="AU403" s="13"/>
      <c r="AV403" s="13"/>
      <c r="AW403" s="13"/>
      <c r="AX403" s="15"/>
      <c r="AY403" s="16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</row>
    <row r="404" spans="1:62" ht="16.5" customHeight="1">
      <c r="A404" s="224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D404" s="499"/>
      <c r="AE404" s="500"/>
      <c r="AF404" s="501"/>
      <c r="AG404" s="501"/>
      <c r="AH404" s="452"/>
      <c r="AI404" s="452"/>
      <c r="AJ404" s="452"/>
      <c r="AS404" s="14"/>
      <c r="AT404" s="13"/>
      <c r="AU404" s="13"/>
      <c r="AV404" s="13"/>
      <c r="AW404" s="13"/>
      <c r="AX404" s="15"/>
      <c r="AY404" s="16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</row>
    <row r="405" spans="1:62" ht="22.5" customHeight="1">
      <c r="A405" s="246"/>
      <c r="B405" s="641" t="s">
        <v>706</v>
      </c>
      <c r="C405" s="132"/>
      <c r="D405" s="132"/>
      <c r="E405" s="132"/>
      <c r="F405" s="132"/>
      <c r="G405" s="132"/>
      <c r="H405" s="132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85"/>
      <c r="AA405" s="85"/>
      <c r="AB405" s="85"/>
      <c r="AD405" s="499"/>
      <c r="AE405" s="500"/>
      <c r="AF405" s="501"/>
      <c r="AG405" s="501"/>
      <c r="AH405" s="452"/>
      <c r="AI405" s="452"/>
      <c r="AJ405" s="452"/>
      <c r="AS405" s="14"/>
      <c r="AT405" s="13"/>
      <c r="AU405" s="13"/>
      <c r="AV405" s="13"/>
      <c r="AW405" s="13"/>
      <c r="AX405" s="15"/>
      <c r="AY405" s="16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</row>
    <row r="406" spans="1:62" ht="22.5" customHeight="1">
      <c r="A406" s="246"/>
      <c r="B406" s="132"/>
      <c r="C406" s="132"/>
      <c r="D406" s="132"/>
      <c r="E406" s="132"/>
      <c r="F406" s="132"/>
      <c r="G406" s="132"/>
      <c r="H406" s="132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85"/>
      <c r="AA406" s="85"/>
      <c r="AB406" s="85"/>
      <c r="AD406" s="499"/>
      <c r="AE406" s="500"/>
      <c r="AF406" s="501"/>
      <c r="AG406" s="501"/>
      <c r="AH406" s="452"/>
      <c r="AI406" s="452"/>
      <c r="AJ406" s="452"/>
      <c r="AS406" s="14"/>
      <c r="AT406" s="13"/>
      <c r="AU406" s="13"/>
      <c r="AV406" s="13"/>
      <c r="AW406" s="13"/>
      <c r="AX406" s="15"/>
      <c r="AY406" s="16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</row>
    <row r="407" spans="1:62" ht="22.5" customHeight="1">
      <c r="A407" s="130"/>
      <c r="B407" s="85"/>
      <c r="C407" s="77"/>
      <c r="D407" s="611" t="s">
        <v>707</v>
      </c>
      <c r="E407" s="611" t="s">
        <v>238</v>
      </c>
      <c r="F407" s="643" t="s">
        <v>708</v>
      </c>
      <c r="G407" s="643"/>
      <c r="H407" s="643"/>
      <c r="I407" s="643"/>
      <c r="J407" s="643"/>
      <c r="K407" s="643"/>
      <c r="L407" s="643"/>
      <c r="M407" s="643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85"/>
      <c r="AA407" s="85"/>
      <c r="AB407" s="85"/>
      <c r="AD407" s="499"/>
      <c r="AE407" s="500"/>
      <c r="AF407" s="501"/>
      <c r="AG407" s="501"/>
      <c r="AH407" s="452"/>
      <c r="AI407" s="452"/>
      <c r="AJ407" s="452"/>
      <c r="AS407" s="14"/>
      <c r="AT407" s="13"/>
      <c r="AU407" s="13"/>
      <c r="AV407" s="13"/>
      <c r="AW407" s="13"/>
      <c r="AX407" s="15"/>
      <c r="AY407" s="16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</row>
    <row r="408" spans="1:62" ht="22.5" customHeight="1">
      <c r="A408" s="130"/>
      <c r="B408" s="85"/>
      <c r="C408" s="77"/>
      <c r="D408" s="213"/>
      <c r="E408" s="213"/>
      <c r="F408" s="213"/>
      <c r="G408" s="213"/>
      <c r="H408" s="213"/>
      <c r="I408" s="213"/>
      <c r="J408" s="213"/>
      <c r="K408" s="213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85"/>
      <c r="AA408" s="85"/>
      <c r="AB408" s="85"/>
      <c r="AD408" s="452"/>
      <c r="AE408" s="502"/>
      <c r="AF408" s="501"/>
      <c r="AG408" s="501"/>
      <c r="AH408" s="452"/>
      <c r="AI408" s="452"/>
      <c r="AJ408" s="452"/>
      <c r="AS408" s="14"/>
      <c r="AT408" s="13"/>
      <c r="AU408" s="13"/>
      <c r="AV408" s="13"/>
      <c r="AW408" s="13"/>
      <c r="AX408" s="15"/>
      <c r="AY408" s="16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</row>
    <row r="409" spans="1:62" ht="22.5" customHeight="1">
      <c r="A409" s="130"/>
      <c r="B409" s="130"/>
      <c r="C409" s="213"/>
      <c r="D409" s="610" t="s">
        <v>674</v>
      </c>
      <c r="E409" s="610"/>
      <c r="F409" s="611" t="s">
        <v>709</v>
      </c>
      <c r="G409" s="610" t="s">
        <v>710</v>
      </c>
      <c r="H409" s="610"/>
      <c r="I409" s="610"/>
      <c r="J409" s="610"/>
      <c r="K409" s="610"/>
      <c r="L409" s="610"/>
      <c r="M409" s="610"/>
      <c r="N409" s="610"/>
      <c r="O409" s="610"/>
      <c r="P409" s="610"/>
      <c r="Q409" s="610"/>
      <c r="R409" s="610"/>
      <c r="S409" s="610"/>
      <c r="T409" s="610"/>
      <c r="U409" s="610"/>
      <c r="V409" s="610"/>
      <c r="W409" s="610"/>
      <c r="X409" s="610"/>
      <c r="Y409" s="610"/>
      <c r="Z409" s="610"/>
      <c r="AA409" s="85"/>
      <c r="AB409" s="236"/>
      <c r="AD409" s="499"/>
      <c r="AE409" s="500"/>
      <c r="AF409" s="501"/>
      <c r="AG409" s="501"/>
      <c r="AH409" s="452"/>
      <c r="AI409" s="452"/>
      <c r="AJ409" s="452"/>
      <c r="AS409" s="14"/>
      <c r="AT409" s="13"/>
      <c r="AU409" s="13"/>
      <c r="AV409" s="13"/>
      <c r="AW409" s="13"/>
      <c r="AX409" s="15"/>
      <c r="AY409" s="16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</row>
    <row r="410" spans="1:62" ht="22.5" customHeight="1">
      <c r="A410" s="130"/>
      <c r="B410" s="130"/>
      <c r="C410" s="213"/>
      <c r="D410" s="610"/>
      <c r="E410" s="610"/>
      <c r="F410" s="611" t="s">
        <v>711</v>
      </c>
      <c r="G410" s="610" t="s">
        <v>712</v>
      </c>
      <c r="H410" s="610"/>
      <c r="I410" s="610"/>
      <c r="J410" s="610"/>
      <c r="K410" s="610"/>
      <c r="L410" s="610"/>
      <c r="M410" s="610"/>
      <c r="N410" s="610"/>
      <c r="O410" s="610"/>
      <c r="P410" s="610"/>
      <c r="Q410" s="610"/>
      <c r="R410" s="610"/>
      <c r="S410" s="610"/>
      <c r="T410" s="610"/>
      <c r="U410" s="610"/>
      <c r="V410" s="610"/>
      <c r="W410" s="610"/>
      <c r="X410" s="610"/>
      <c r="Y410" s="610"/>
      <c r="Z410" s="610"/>
      <c r="AA410" s="85"/>
      <c r="AB410" s="237"/>
      <c r="AD410" s="499"/>
      <c r="AE410" s="500"/>
      <c r="AF410" s="501"/>
      <c r="AG410" s="501"/>
      <c r="AH410" s="452"/>
      <c r="AI410" s="452"/>
      <c r="AJ410" s="452"/>
      <c r="AS410" s="14"/>
      <c r="AT410" s="13"/>
      <c r="AU410" s="13"/>
      <c r="AV410" s="13"/>
      <c r="AW410" s="13"/>
      <c r="AX410" s="15"/>
      <c r="AY410" s="16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</row>
    <row r="411" spans="1:62" ht="22.5" customHeight="1">
      <c r="A411" s="130"/>
      <c r="B411" s="130"/>
      <c r="C411" s="77"/>
      <c r="D411" s="609"/>
      <c r="E411" s="610"/>
      <c r="F411" s="611" t="s">
        <v>713</v>
      </c>
      <c r="G411" s="610" t="s">
        <v>714</v>
      </c>
      <c r="H411" s="610"/>
      <c r="I411" s="610"/>
      <c r="J411" s="610"/>
      <c r="K411" s="610"/>
      <c r="L411" s="609"/>
      <c r="M411" s="610"/>
      <c r="N411" s="609"/>
      <c r="O411" s="610"/>
      <c r="P411" s="610"/>
      <c r="Q411" s="610"/>
      <c r="R411" s="610"/>
      <c r="S411" s="610"/>
      <c r="T411" s="610"/>
      <c r="U411" s="610"/>
      <c r="V411" s="610"/>
      <c r="W411" s="610"/>
      <c r="X411" s="610"/>
      <c r="Y411" s="610"/>
      <c r="Z411" s="610"/>
      <c r="AA411" s="85"/>
      <c r="AB411" s="237"/>
      <c r="AD411" s="499"/>
      <c r="AE411" s="500"/>
      <c r="AF411" s="501"/>
      <c r="AG411" s="501"/>
      <c r="AH411" s="452"/>
      <c r="AI411" s="452"/>
      <c r="AJ411" s="452"/>
      <c r="AS411" s="14"/>
      <c r="AT411" s="13"/>
      <c r="AU411" s="13"/>
      <c r="AV411" s="13"/>
      <c r="AW411" s="13"/>
      <c r="AX411" s="15"/>
      <c r="AY411" s="16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</row>
    <row r="412" spans="1:62" ht="22.5" customHeight="1">
      <c r="A412" s="130"/>
      <c r="B412" s="130"/>
      <c r="C412" s="77"/>
      <c r="D412" s="609"/>
      <c r="E412" s="610"/>
      <c r="F412" s="645" t="s">
        <v>715</v>
      </c>
      <c r="G412" s="664" t="s">
        <v>716</v>
      </c>
      <c r="H412" s="664"/>
      <c r="I412" s="610"/>
      <c r="J412" s="610"/>
      <c r="K412" s="610"/>
      <c r="L412" s="610"/>
      <c r="M412" s="610"/>
      <c r="N412" s="610"/>
      <c r="O412" s="610"/>
      <c r="P412" s="610"/>
      <c r="Q412" s="610"/>
      <c r="R412" s="610"/>
      <c r="S412" s="610"/>
      <c r="T412" s="610"/>
      <c r="U412" s="610"/>
      <c r="V412" s="610"/>
      <c r="W412" s="610"/>
      <c r="X412" s="610"/>
      <c r="Y412" s="610"/>
      <c r="Z412" s="610"/>
      <c r="AA412" s="85"/>
      <c r="AB412" s="237"/>
      <c r="AD412" s="499"/>
      <c r="AE412" s="500"/>
      <c r="AF412" s="501"/>
      <c r="AG412" s="501"/>
      <c r="AH412" s="452"/>
      <c r="AI412" s="452"/>
      <c r="AJ412" s="452"/>
      <c r="AS412" s="14"/>
      <c r="AT412" s="13"/>
      <c r="AU412" s="13"/>
      <c r="AV412" s="13"/>
      <c r="AW412" s="13"/>
      <c r="AX412" s="15"/>
      <c r="AY412" s="16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</row>
    <row r="413" spans="1:62" ht="22.5" customHeight="1">
      <c r="A413" s="130"/>
      <c r="B413" s="130"/>
      <c r="C413" s="77"/>
      <c r="D413" s="609"/>
      <c r="E413" s="610"/>
      <c r="F413" s="611" t="s">
        <v>717</v>
      </c>
      <c r="G413" s="610" t="s">
        <v>718</v>
      </c>
      <c r="H413" s="610"/>
      <c r="I413" s="610"/>
      <c r="J413" s="610"/>
      <c r="K413" s="610"/>
      <c r="L413" s="610"/>
      <c r="M413" s="610"/>
      <c r="N413" s="610"/>
      <c r="O413" s="610"/>
      <c r="P413" s="645"/>
      <c r="Q413" s="664"/>
      <c r="R413" s="609"/>
      <c r="S413" s="610"/>
      <c r="T413" s="610"/>
      <c r="U413" s="610"/>
      <c r="V413" s="610"/>
      <c r="W413" s="610"/>
      <c r="X413" s="610"/>
      <c r="Y413" s="610"/>
      <c r="Z413" s="610"/>
      <c r="AA413" s="85"/>
      <c r="AB413" s="237"/>
      <c r="AD413" s="499"/>
      <c r="AE413" s="500"/>
      <c r="AF413" s="501"/>
      <c r="AG413" s="501"/>
      <c r="AH413" s="452"/>
      <c r="AI413" s="452"/>
      <c r="AJ413" s="452"/>
      <c r="AS413" s="14"/>
      <c r="AT413" s="13"/>
      <c r="AU413" s="13"/>
      <c r="AV413" s="13"/>
      <c r="AW413" s="13"/>
      <c r="AX413" s="15"/>
      <c r="AY413" s="16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</row>
    <row r="414" spans="1:62" ht="22.5" customHeight="1">
      <c r="A414" s="130"/>
      <c r="B414" s="130"/>
      <c r="C414" s="77"/>
      <c r="D414" s="609"/>
      <c r="E414" s="610"/>
      <c r="F414" s="645" t="s">
        <v>719</v>
      </c>
      <c r="G414" s="664" t="s">
        <v>720</v>
      </c>
      <c r="H414" s="609"/>
      <c r="I414" s="610"/>
      <c r="J414" s="610"/>
      <c r="K414" s="610"/>
      <c r="L414" s="610"/>
      <c r="M414" s="610"/>
      <c r="N414" s="610"/>
      <c r="O414" s="610"/>
      <c r="P414" s="645"/>
      <c r="Q414" s="664"/>
      <c r="R414" s="609"/>
      <c r="S414" s="610"/>
      <c r="T414" s="610"/>
      <c r="U414" s="610"/>
      <c r="V414" s="610"/>
      <c r="W414" s="610"/>
      <c r="X414" s="610"/>
      <c r="Y414" s="610"/>
      <c r="Z414" s="610"/>
      <c r="AA414" s="85"/>
      <c r="AB414" s="237"/>
      <c r="AD414" s="499"/>
      <c r="AE414" s="500"/>
      <c r="AF414" s="501"/>
      <c r="AG414" s="501"/>
      <c r="AH414" s="452"/>
      <c r="AI414" s="452"/>
      <c r="AJ414" s="452"/>
      <c r="AS414" s="14"/>
      <c r="AT414" s="13"/>
      <c r="AU414" s="13"/>
      <c r="AV414" s="13"/>
      <c r="AW414" s="13"/>
      <c r="AX414" s="15"/>
      <c r="AY414" s="16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</row>
    <row r="415" spans="1:62" ht="22.5" customHeight="1">
      <c r="A415" s="130"/>
      <c r="B415" s="130"/>
      <c r="C415" s="77"/>
      <c r="D415" s="646" t="s">
        <v>761</v>
      </c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0"/>
      <c r="P415" s="610"/>
      <c r="Q415" s="610"/>
      <c r="R415" s="610"/>
      <c r="S415" s="610"/>
      <c r="T415" s="610"/>
      <c r="U415" s="610"/>
      <c r="V415" s="610"/>
      <c r="W415" s="610"/>
      <c r="X415" s="610"/>
      <c r="Y415" s="610"/>
      <c r="Z415" s="610"/>
      <c r="AA415" s="85"/>
      <c r="AB415" s="238"/>
      <c r="AD415" s="499"/>
      <c r="AE415" s="500"/>
      <c r="AF415" s="501"/>
      <c r="AG415" s="501"/>
      <c r="AH415" s="452"/>
      <c r="AI415" s="452"/>
      <c r="AJ415" s="452"/>
      <c r="AS415" s="14"/>
      <c r="AT415" s="13"/>
      <c r="AU415" s="13"/>
      <c r="AV415" s="13"/>
      <c r="AW415" s="13"/>
      <c r="AX415" s="15"/>
      <c r="AY415" s="16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</row>
    <row r="416" spans="1:62" ht="22.5" customHeight="1">
      <c r="A416" s="130"/>
      <c r="B416" s="130"/>
      <c r="C416" s="77"/>
      <c r="D416" s="611"/>
      <c r="E416" s="610" t="s">
        <v>762</v>
      </c>
      <c r="F416" s="611" t="s">
        <v>601</v>
      </c>
      <c r="G416" s="610" t="s">
        <v>763</v>
      </c>
      <c r="H416" s="673"/>
      <c r="I416" s="673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710"/>
      <c r="U416" s="672"/>
      <c r="V416" s="672"/>
      <c r="W416" s="611"/>
      <c r="X416" s="673"/>
      <c r="Y416" s="673"/>
      <c r="Z416" s="610"/>
      <c r="AA416" s="85"/>
      <c r="AB416" s="239"/>
      <c r="AD416" s="11"/>
      <c r="AE416" s="12"/>
      <c r="AF416" s="13"/>
      <c r="AG416" s="13"/>
      <c r="AS416" s="14"/>
      <c r="AT416" s="13"/>
      <c r="AU416" s="13"/>
      <c r="AV416" s="13"/>
      <c r="AW416" s="13"/>
      <c r="AX416" s="15"/>
      <c r="AY416" s="16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</row>
    <row r="417" spans="1:62" ht="22.5" customHeight="1">
      <c r="A417" s="130"/>
      <c r="B417" s="130"/>
      <c r="C417" s="77"/>
      <c r="D417" s="611"/>
      <c r="E417" s="610" t="s">
        <v>762</v>
      </c>
      <c r="F417" s="611" t="s">
        <v>601</v>
      </c>
      <c r="G417" s="610" t="s">
        <v>764</v>
      </c>
      <c r="H417" s="673"/>
      <c r="I417" s="673"/>
      <c r="J417" s="610"/>
      <c r="K417" s="610"/>
      <c r="L417" s="610"/>
      <c r="M417" s="610"/>
      <c r="N417" s="610"/>
      <c r="O417" s="610"/>
      <c r="P417" s="610"/>
      <c r="Q417" s="610"/>
      <c r="R417" s="610"/>
      <c r="S417" s="610"/>
      <c r="T417" s="710"/>
      <c r="U417" s="610"/>
      <c r="V417" s="610"/>
      <c r="W417" s="611"/>
      <c r="X417" s="673"/>
      <c r="Y417" s="673"/>
      <c r="Z417" s="610"/>
      <c r="AA417" s="85"/>
      <c r="AB417" s="85"/>
      <c r="AD417" s="11"/>
      <c r="AE417" s="12"/>
      <c r="AF417" s="13"/>
      <c r="AG417" s="13"/>
      <c r="AS417" s="14"/>
      <c r="AT417" s="13"/>
      <c r="AU417" s="13"/>
      <c r="AV417" s="13"/>
      <c r="AW417" s="13"/>
      <c r="AX417" s="15"/>
      <c r="AY417" s="16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</row>
    <row r="418" spans="1:62" ht="22.5" customHeight="1">
      <c r="A418" s="130"/>
      <c r="B418" s="130"/>
      <c r="C418" s="77"/>
      <c r="D418" s="611"/>
      <c r="E418" s="610" t="s">
        <v>762</v>
      </c>
      <c r="F418" s="611" t="s">
        <v>601</v>
      </c>
      <c r="G418" s="610" t="s">
        <v>765</v>
      </c>
      <c r="H418" s="610"/>
      <c r="I418" s="610"/>
      <c r="J418" s="610"/>
      <c r="K418" s="610"/>
      <c r="L418" s="610"/>
      <c r="M418" s="611"/>
      <c r="N418" s="664"/>
      <c r="O418" s="664"/>
      <c r="P418" s="664"/>
      <c r="Q418" s="610"/>
      <c r="R418" s="610"/>
      <c r="S418" s="610"/>
      <c r="T418" s="610"/>
      <c r="U418" s="671"/>
      <c r="V418" s="671"/>
      <c r="W418" s="671"/>
      <c r="X418" s="610"/>
      <c r="Y418" s="610"/>
      <c r="Z418" s="610"/>
      <c r="AA418" s="85"/>
      <c r="AB418" s="85"/>
      <c r="AD418" s="11"/>
      <c r="AE418" s="12"/>
      <c r="AF418" s="13"/>
      <c r="AG418" s="13"/>
      <c r="AS418" s="14"/>
      <c r="AT418" s="13"/>
      <c r="AU418" s="13"/>
      <c r="AV418" s="13"/>
      <c r="AW418" s="13"/>
      <c r="AX418" s="15"/>
      <c r="AY418" s="16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</row>
    <row r="419" spans="1:62" ht="22.5" customHeight="1">
      <c r="A419" s="130"/>
      <c r="B419" s="130"/>
      <c r="C419" s="77"/>
      <c r="D419" s="610"/>
      <c r="E419" s="643" t="s">
        <v>657</v>
      </c>
      <c r="F419" s="610"/>
      <c r="G419" s="610" t="s">
        <v>766</v>
      </c>
      <c r="H419" s="610"/>
      <c r="I419" s="610"/>
      <c r="J419" s="610"/>
      <c r="K419" s="610"/>
      <c r="L419" s="610"/>
      <c r="M419" s="611" t="s">
        <v>767</v>
      </c>
      <c r="N419" s="611" t="s">
        <v>601</v>
      </c>
      <c r="O419" s="610" t="s">
        <v>768</v>
      </c>
      <c r="P419" s="610"/>
      <c r="Q419" s="610"/>
      <c r="R419" s="610"/>
      <c r="S419" s="610"/>
      <c r="T419" s="610"/>
      <c r="U419" s="610"/>
      <c r="V419" s="611"/>
      <c r="W419" s="611"/>
      <c r="X419" s="610"/>
      <c r="Y419" s="610"/>
      <c r="Z419" s="610"/>
      <c r="AA419" s="85"/>
      <c r="AB419" s="85"/>
      <c r="AD419" s="11"/>
      <c r="AE419" s="12"/>
      <c r="AF419" s="13"/>
      <c r="AG419" s="13"/>
      <c r="AS419" s="14"/>
      <c r="AT419" s="13"/>
      <c r="AU419" s="13"/>
      <c r="AV419" s="13"/>
      <c r="AW419" s="13"/>
      <c r="AX419" s="15"/>
      <c r="AY419" s="16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</row>
    <row r="420" spans="1:62" ht="22.5" customHeight="1">
      <c r="A420" s="130"/>
      <c r="B420" s="130"/>
      <c r="C420" s="77"/>
      <c r="D420" s="610"/>
      <c r="E420" s="610"/>
      <c r="F420" s="610"/>
      <c r="G420" s="610" t="s">
        <v>769</v>
      </c>
      <c r="H420" s="610"/>
      <c r="I420" s="610"/>
      <c r="J420" s="610"/>
      <c r="K420" s="610"/>
      <c r="L420" s="610"/>
      <c r="M420" s="611" t="s">
        <v>770</v>
      </c>
      <c r="N420" s="611" t="s">
        <v>601</v>
      </c>
      <c r="O420" s="610" t="s">
        <v>771</v>
      </c>
      <c r="P420" s="610"/>
      <c r="Q420" s="610"/>
      <c r="R420" s="610"/>
      <c r="S420" s="610"/>
      <c r="T420" s="610"/>
      <c r="U420" s="610"/>
      <c r="V420" s="610"/>
      <c r="W420" s="610"/>
      <c r="X420" s="610"/>
      <c r="Y420" s="610"/>
      <c r="Z420" s="610"/>
      <c r="AA420" s="85"/>
      <c r="AB420" s="85"/>
      <c r="AD420" s="11"/>
      <c r="AE420" s="12"/>
      <c r="AF420" s="13"/>
      <c r="AG420" s="13"/>
      <c r="AS420" s="14"/>
      <c r="AT420" s="13"/>
      <c r="AU420" s="13"/>
      <c r="AV420" s="13"/>
      <c r="AW420" s="13"/>
      <c r="AX420" s="15"/>
      <c r="AY420" s="16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</row>
    <row r="421" spans="1:62" ht="22.5" customHeight="1">
      <c r="A421" s="130"/>
      <c r="B421" s="130"/>
      <c r="C421" s="85"/>
      <c r="D421" s="610"/>
      <c r="E421" s="610"/>
      <c r="F421" s="610"/>
      <c r="G421" s="610" t="s">
        <v>772</v>
      </c>
      <c r="H421" s="610"/>
      <c r="I421" s="610"/>
      <c r="J421" s="610"/>
      <c r="K421" s="610"/>
      <c r="L421" s="610"/>
      <c r="M421" s="611" t="s">
        <v>773</v>
      </c>
      <c r="N421" s="611" t="s">
        <v>601</v>
      </c>
      <c r="O421" s="610" t="s">
        <v>774</v>
      </c>
      <c r="P421" s="610"/>
      <c r="Q421" s="610"/>
      <c r="R421" s="610"/>
      <c r="S421" s="610"/>
      <c r="T421" s="610"/>
      <c r="U421" s="610"/>
      <c r="V421" s="610"/>
      <c r="W421" s="610"/>
      <c r="X421" s="610"/>
      <c r="Y421" s="610"/>
      <c r="Z421" s="610"/>
      <c r="AA421" s="85"/>
      <c r="AB421" s="85"/>
      <c r="AD421" s="11"/>
      <c r="AE421" s="12"/>
      <c r="AF421" s="13"/>
      <c r="AG421" s="13"/>
      <c r="AS421" s="14"/>
      <c r="AT421" s="13"/>
      <c r="AU421" s="13"/>
      <c r="AV421" s="13"/>
      <c r="AW421" s="13"/>
      <c r="AX421" s="15"/>
      <c r="AY421" s="16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</row>
    <row r="422" spans="1:62" ht="15" customHeight="1">
      <c r="A422" s="130"/>
      <c r="B422" s="130"/>
      <c r="C422" s="85"/>
      <c r="D422" s="85"/>
      <c r="E422" s="213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85"/>
      <c r="AA422" s="85"/>
      <c r="AB422" s="85"/>
      <c r="AD422" s="11"/>
      <c r="AE422" s="12"/>
      <c r="AF422" s="13"/>
      <c r="AG422" s="13"/>
      <c r="AS422" s="14"/>
      <c r="AT422" s="13"/>
      <c r="AU422" s="13"/>
      <c r="AV422" s="13"/>
      <c r="AW422" s="13"/>
      <c r="AX422" s="15"/>
      <c r="AY422" s="16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</row>
    <row r="423" spans="1:62" ht="15" customHeight="1">
      <c r="A423" s="130"/>
      <c r="B423" s="130"/>
      <c r="C423" s="85"/>
      <c r="D423" s="85"/>
      <c r="E423" s="85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85"/>
      <c r="AA423" s="85"/>
      <c r="AB423" s="85"/>
      <c r="AD423" s="11"/>
      <c r="AE423" s="12"/>
      <c r="AF423" s="13"/>
      <c r="AG423" s="13"/>
      <c r="AS423" s="14"/>
      <c r="AT423" s="13"/>
      <c r="AU423" s="13"/>
      <c r="AV423" s="13"/>
      <c r="AW423" s="13"/>
      <c r="AX423" s="15"/>
      <c r="AY423" s="16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</row>
    <row r="424" spans="1:62" ht="15" customHeight="1">
      <c r="A424" s="130"/>
      <c r="B424" s="130"/>
      <c r="C424" s="85"/>
      <c r="D424" s="85"/>
      <c r="E424" s="85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85"/>
      <c r="AA424" s="85"/>
      <c r="AB424" s="85"/>
      <c r="AD424" s="11"/>
      <c r="AE424" s="12"/>
      <c r="AF424" s="13"/>
      <c r="AG424" s="13"/>
      <c r="AS424" s="14"/>
      <c r="AT424" s="13"/>
      <c r="AU424" s="13"/>
      <c r="AV424" s="13"/>
      <c r="AW424" s="13"/>
      <c r="AX424" s="15"/>
      <c r="AY424" s="16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</row>
    <row r="425" spans="1:62" ht="15" customHeight="1">
      <c r="A425" s="130"/>
      <c r="B425" s="130"/>
      <c r="C425" s="85"/>
      <c r="D425" s="85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85"/>
      <c r="AA425" s="85"/>
      <c r="AD425" s="11"/>
      <c r="AE425" s="12"/>
      <c r="AF425" s="13"/>
      <c r="AG425" s="13"/>
      <c r="AS425" s="14"/>
      <c r="AT425" s="13"/>
      <c r="AU425" s="13"/>
      <c r="AV425" s="13"/>
      <c r="AW425" s="13"/>
      <c r="AX425" s="15"/>
      <c r="AY425" s="16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</row>
    <row r="426" spans="1:62" ht="15" customHeight="1">
      <c r="A426" s="130"/>
      <c r="B426" s="130"/>
      <c r="C426" s="85"/>
      <c r="D426" s="85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85"/>
      <c r="AA426" s="85"/>
      <c r="AD426" s="11"/>
      <c r="AE426" s="12"/>
      <c r="AF426" s="13"/>
      <c r="AG426" s="13"/>
      <c r="AS426" s="14"/>
      <c r="AT426" s="13"/>
      <c r="AU426" s="13"/>
      <c r="AV426" s="13"/>
      <c r="AW426" s="13"/>
      <c r="AX426" s="15"/>
      <c r="AY426" s="16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</row>
    <row r="427" spans="1:62" ht="15" customHeight="1">
      <c r="A427" s="130"/>
      <c r="B427" s="130"/>
      <c r="C427" s="85"/>
      <c r="D427" s="85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85"/>
      <c r="AA427" s="85"/>
      <c r="AD427" s="11"/>
      <c r="AE427" s="12"/>
      <c r="AF427" s="13"/>
      <c r="AG427" s="13"/>
      <c r="AS427" s="14"/>
      <c r="AT427" s="13"/>
      <c r="AU427" s="13"/>
      <c r="AV427" s="13"/>
      <c r="AW427" s="13"/>
      <c r="AX427" s="15"/>
      <c r="AY427" s="16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</row>
    <row r="428" spans="1:62" ht="15" customHeight="1">
      <c r="A428" s="130"/>
      <c r="B428" s="130"/>
      <c r="C428" s="85"/>
      <c r="D428" s="85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85"/>
      <c r="AA428" s="85"/>
      <c r="AD428" s="11"/>
      <c r="AE428" s="12"/>
      <c r="AF428" s="13"/>
      <c r="AG428" s="13"/>
      <c r="AS428" s="14"/>
      <c r="AT428" s="13"/>
      <c r="AU428" s="13"/>
      <c r="AV428" s="13"/>
      <c r="AW428" s="13"/>
      <c r="AX428" s="15"/>
      <c r="AY428" s="16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</row>
    <row r="429" spans="1:62" ht="15" customHeight="1">
      <c r="A429" s="130"/>
      <c r="B429" s="130"/>
      <c r="C429" s="85"/>
      <c r="D429" s="85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85"/>
      <c r="AA429" s="85"/>
      <c r="AD429" s="11"/>
      <c r="AE429" s="12"/>
      <c r="AF429" s="13"/>
      <c r="AG429" s="13"/>
      <c r="AS429" s="14"/>
      <c r="AT429" s="13"/>
      <c r="AU429" s="13"/>
      <c r="AV429" s="13"/>
      <c r="AW429" s="13"/>
      <c r="AX429" s="15"/>
      <c r="AY429" s="16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</row>
    <row r="430" spans="1:62" ht="15" customHeight="1">
      <c r="A430" s="130"/>
      <c r="B430" s="130"/>
      <c r="C430" s="85"/>
      <c r="D430" s="85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85"/>
      <c r="AA430" s="85"/>
      <c r="AD430" s="11"/>
      <c r="AE430" s="12"/>
      <c r="AF430" s="13"/>
      <c r="AG430" s="13"/>
      <c r="AS430" s="14"/>
      <c r="AT430" s="13"/>
      <c r="AU430" s="13"/>
      <c r="AV430" s="13"/>
      <c r="AW430" s="13"/>
      <c r="AX430" s="15"/>
      <c r="AY430" s="16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</row>
    <row r="431" spans="1:62" ht="15" customHeight="1">
      <c r="A431" s="130"/>
      <c r="B431" s="130"/>
      <c r="C431" s="85"/>
      <c r="D431" s="85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85"/>
      <c r="AA431" s="85"/>
      <c r="AD431" s="11"/>
      <c r="AE431" s="12"/>
      <c r="AF431" s="13"/>
      <c r="AG431" s="13"/>
      <c r="AS431" s="14"/>
      <c r="AT431" s="13"/>
      <c r="AU431" s="13"/>
      <c r="AV431" s="13"/>
      <c r="AW431" s="13"/>
      <c r="AX431" s="15"/>
      <c r="AY431" s="16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</row>
    <row r="432" spans="1:62" ht="15" customHeight="1">
      <c r="A432" s="130"/>
      <c r="B432" s="130"/>
      <c r="C432" s="85"/>
      <c r="D432" s="85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85"/>
      <c r="AA432" s="85"/>
      <c r="AD432" s="11"/>
      <c r="AE432" s="12"/>
      <c r="AF432" s="13"/>
      <c r="AG432" s="13"/>
      <c r="AS432" s="14"/>
      <c r="AT432" s="13"/>
      <c r="AU432" s="13"/>
      <c r="AV432" s="13"/>
      <c r="AW432" s="13"/>
      <c r="AX432" s="15"/>
      <c r="AY432" s="16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</row>
    <row r="433" spans="1:62" ht="15" customHeight="1">
      <c r="A433" s="130"/>
      <c r="B433" s="130"/>
      <c r="C433" s="85"/>
      <c r="D433" s="85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85"/>
      <c r="AD433" s="11"/>
      <c r="AE433" s="12"/>
      <c r="AF433" s="13"/>
      <c r="AG433" s="13"/>
      <c r="AS433" s="14"/>
      <c r="AT433" s="13"/>
      <c r="AU433" s="13"/>
      <c r="AV433" s="13"/>
      <c r="AW433" s="13"/>
      <c r="AX433" s="15"/>
      <c r="AY433" s="16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</row>
    <row r="434" spans="1:62" ht="15" customHeight="1">
      <c r="A434" s="130"/>
      <c r="B434" s="130"/>
      <c r="C434" s="85"/>
      <c r="D434" s="85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A434" s="85"/>
      <c r="AD434" s="11"/>
      <c r="AE434" s="12"/>
      <c r="AF434" s="13"/>
      <c r="AG434" s="13"/>
      <c r="AS434" s="14"/>
      <c r="AT434" s="13"/>
      <c r="AU434" s="13"/>
      <c r="AV434" s="13"/>
      <c r="AW434" s="13"/>
      <c r="AX434" s="15"/>
      <c r="AY434" s="16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</row>
    <row r="435" spans="1:62" ht="15" customHeight="1">
      <c r="A435" s="130"/>
      <c r="B435" s="130"/>
      <c r="C435" s="85"/>
      <c r="D435" s="85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A435" s="85"/>
      <c r="AD435" s="11"/>
      <c r="AE435" s="12"/>
      <c r="AF435" s="13"/>
      <c r="AG435" s="13"/>
      <c r="AS435" s="14"/>
      <c r="AT435" s="13"/>
      <c r="AU435" s="13"/>
      <c r="AV435" s="13"/>
      <c r="AW435" s="13"/>
      <c r="AX435" s="15"/>
      <c r="AY435" s="16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</row>
    <row r="436" spans="1:62" ht="15" customHeight="1">
      <c r="A436" s="130"/>
      <c r="B436" s="130"/>
      <c r="C436" s="85"/>
      <c r="D436" s="85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85"/>
      <c r="AA436" s="85"/>
      <c r="AD436" s="11"/>
      <c r="AE436" s="12"/>
      <c r="AF436" s="13"/>
      <c r="AG436" s="13"/>
      <c r="AS436" s="14"/>
      <c r="AT436" s="13"/>
      <c r="AU436" s="13"/>
      <c r="AV436" s="13"/>
      <c r="AW436" s="13"/>
      <c r="AX436" s="15"/>
      <c r="AY436" s="16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</row>
    <row r="437" spans="1:62" ht="15" customHeight="1">
      <c r="A437" s="130"/>
      <c r="B437" s="130"/>
      <c r="C437" s="85"/>
      <c r="D437" s="85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A437" s="85"/>
      <c r="AD437" s="11"/>
      <c r="AE437" s="12"/>
      <c r="AF437" s="13"/>
      <c r="AG437" s="13"/>
      <c r="AS437" s="14"/>
      <c r="AT437" s="13"/>
      <c r="AU437" s="13"/>
      <c r="AV437" s="13"/>
      <c r="AW437" s="13"/>
      <c r="AX437" s="15"/>
      <c r="AY437" s="16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</row>
    <row r="438" spans="1:62" ht="15" customHeight="1">
      <c r="A438" s="130"/>
      <c r="B438" s="130"/>
      <c r="C438" s="85"/>
      <c r="D438" s="85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85"/>
      <c r="AA438" s="85"/>
      <c r="AD438" s="11"/>
      <c r="AE438" s="12"/>
      <c r="AF438" s="13"/>
      <c r="AG438" s="13"/>
      <c r="AS438" s="14"/>
      <c r="AT438" s="13"/>
      <c r="AU438" s="13"/>
      <c r="AV438" s="13"/>
      <c r="AW438" s="13"/>
      <c r="AX438" s="15"/>
      <c r="AY438" s="16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</row>
    <row r="439" spans="1:62" ht="15" customHeight="1">
      <c r="A439" s="130"/>
      <c r="B439" s="130"/>
      <c r="C439" s="85"/>
      <c r="D439" s="85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85"/>
      <c r="AA439" s="85"/>
      <c r="AD439" s="11"/>
      <c r="AE439" s="12"/>
      <c r="AF439" s="13"/>
      <c r="AG439" s="13"/>
      <c r="AS439" s="14"/>
      <c r="AT439" s="13"/>
      <c r="AU439" s="13"/>
      <c r="AV439" s="13"/>
      <c r="AW439" s="13"/>
      <c r="AX439" s="15"/>
      <c r="AY439" s="16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</row>
    <row r="440" spans="1:62" ht="15" customHeight="1">
      <c r="A440" s="130"/>
      <c r="B440" s="130"/>
      <c r="C440" s="85"/>
      <c r="D440" s="85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85"/>
      <c r="AA440" s="85"/>
      <c r="AD440" s="11"/>
      <c r="AE440" s="12"/>
      <c r="AF440" s="13"/>
      <c r="AG440" s="13"/>
      <c r="AS440" s="14"/>
      <c r="AT440" s="13"/>
      <c r="AU440" s="13"/>
      <c r="AV440" s="13"/>
      <c r="AW440" s="13"/>
      <c r="AX440" s="15"/>
      <c r="AY440" s="16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</row>
    <row r="441" spans="1:62" ht="15" customHeight="1">
      <c r="A441" s="130"/>
      <c r="B441" s="130"/>
      <c r="C441" s="85"/>
      <c r="D441" s="85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85"/>
      <c r="AA441" s="85"/>
      <c r="AD441" s="11"/>
      <c r="AE441" s="12"/>
      <c r="AF441" s="13"/>
      <c r="AG441" s="13"/>
      <c r="AS441" s="14"/>
      <c r="AT441" s="13"/>
      <c r="AU441" s="13"/>
      <c r="AV441" s="13"/>
      <c r="AW441" s="13"/>
      <c r="AX441" s="15"/>
      <c r="AY441" s="16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</row>
    <row r="442" spans="1:62" ht="15" customHeight="1">
      <c r="A442" s="136"/>
      <c r="B442" s="136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AD442" s="11"/>
      <c r="AE442" s="12"/>
      <c r="AF442" s="13"/>
      <c r="AG442" s="13"/>
      <c r="AS442" s="14"/>
      <c r="AT442" s="13"/>
      <c r="AU442" s="13"/>
      <c r="AV442" s="13"/>
      <c r="AW442" s="1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</row>
    <row r="443" spans="1:62" ht="15" customHeight="1">
      <c r="A443" s="136"/>
      <c r="B443" s="136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AD443" s="11"/>
      <c r="AE443" s="12"/>
      <c r="AF443" s="13"/>
      <c r="AG443" s="13"/>
      <c r="AS443" s="14"/>
      <c r="AT443" s="13"/>
      <c r="AU443" s="13"/>
      <c r="AV443" s="13"/>
      <c r="AW443" s="13"/>
      <c r="AX443" s="15"/>
      <c r="AY443" s="16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</row>
    <row r="444" spans="1:62" ht="17.25" customHeight="1">
      <c r="A444" s="136"/>
      <c r="B444" s="136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AD444" s="11"/>
      <c r="AE444" s="12"/>
      <c r="AF444" s="13"/>
      <c r="AG444" s="13"/>
      <c r="AS444" s="14"/>
      <c r="AT444" s="13"/>
      <c r="AU444" s="13"/>
      <c r="AV444" s="13"/>
      <c r="AW444" s="13"/>
      <c r="AX444" s="15"/>
      <c r="AY444" s="16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</row>
    <row r="445" spans="1:62" ht="15" customHeight="1">
      <c r="A445" s="136"/>
      <c r="B445" s="136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AD445" s="11"/>
      <c r="AE445" s="12"/>
      <c r="AF445" s="13"/>
      <c r="AG445" s="13"/>
      <c r="AS445" s="14"/>
      <c r="AT445" s="13"/>
      <c r="AU445" s="13"/>
      <c r="AV445" s="13"/>
      <c r="AW445" s="13"/>
      <c r="AX445" s="15"/>
      <c r="AY445" s="16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</row>
    <row r="446" spans="1:62" ht="15" customHeight="1">
      <c r="A446" s="136"/>
      <c r="B446" s="136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AD446" s="11"/>
      <c r="AE446" s="12"/>
      <c r="AF446" s="13"/>
      <c r="AG446" s="13"/>
      <c r="AS446" s="14"/>
      <c r="AT446" s="13"/>
      <c r="AU446" s="13"/>
      <c r="AV446" s="13"/>
      <c r="AW446" s="13"/>
      <c r="AX446" s="15"/>
      <c r="AY446" s="16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</row>
    <row r="447" spans="1:62" ht="15" customHeight="1">
      <c r="A447" s="136"/>
      <c r="B447" s="136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AD447" s="11"/>
      <c r="AE447" s="12"/>
      <c r="AF447" s="13"/>
      <c r="AG447" s="13"/>
      <c r="AS447" s="14"/>
      <c r="AT447" s="13"/>
      <c r="AU447" s="13"/>
      <c r="AV447" s="13"/>
      <c r="AW447" s="13"/>
      <c r="AX447" s="15"/>
      <c r="AY447" s="16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</row>
    <row r="448" spans="1:62" ht="15" customHeight="1">
      <c r="A448" s="136"/>
      <c r="B448" s="136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AD448" s="11"/>
      <c r="AE448" s="12"/>
      <c r="AF448" s="13"/>
      <c r="AG448" s="13"/>
      <c r="AS448" s="14"/>
      <c r="AT448" s="13"/>
      <c r="AU448" s="13"/>
      <c r="AV448" s="13"/>
      <c r="AW448" s="13"/>
      <c r="AX448" s="15"/>
      <c r="AY448" s="16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</row>
    <row r="449" spans="1:62" ht="15" customHeight="1">
      <c r="A449" s="136"/>
      <c r="B449" s="255" t="s">
        <v>282</v>
      </c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AD449" s="11"/>
      <c r="AE449" s="12"/>
      <c r="AF449" s="13"/>
      <c r="AG449" s="13"/>
      <c r="AS449" s="14"/>
      <c r="AT449" s="13"/>
      <c r="AU449" s="13"/>
      <c r="AV449" s="13"/>
      <c r="AW449" s="13"/>
      <c r="AX449" s="15"/>
      <c r="AY449" s="16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</row>
    <row r="450" spans="1:62" ht="15" customHeight="1">
      <c r="A450" s="136"/>
      <c r="B450" s="256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AD450" s="11"/>
      <c r="AE450" s="12"/>
      <c r="AF450" s="13"/>
      <c r="AG450" s="13"/>
      <c r="AS450" s="14"/>
      <c r="AT450" s="13"/>
      <c r="AU450" s="13"/>
      <c r="AV450" s="13"/>
      <c r="AW450" s="13"/>
      <c r="AX450" s="15"/>
      <c r="AY450" s="16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</row>
    <row r="451" spans="1:62" ht="15" customHeight="1">
      <c r="A451" s="136"/>
      <c r="B451" s="1082" t="s">
        <v>547</v>
      </c>
      <c r="C451" s="1083"/>
      <c r="D451" s="1083"/>
      <c r="E451" s="1336" t="s">
        <v>548</v>
      </c>
      <c r="F451" s="1336"/>
      <c r="G451" s="1336"/>
      <c r="H451" s="1336"/>
      <c r="I451" s="1334" t="s">
        <v>551</v>
      </c>
      <c r="J451" s="1334"/>
      <c r="K451" s="1334"/>
      <c r="L451" s="1334"/>
      <c r="M451" s="1084" t="s">
        <v>286</v>
      </c>
      <c r="N451" s="1084"/>
      <c r="O451" s="1084"/>
      <c r="P451" s="1084"/>
      <c r="Q451" s="1084" t="s">
        <v>619</v>
      </c>
      <c r="R451" s="1084"/>
      <c r="S451" s="1084"/>
      <c r="T451" s="1084" t="s">
        <v>288</v>
      </c>
      <c r="U451" s="1084"/>
      <c r="V451" s="1084"/>
      <c r="W451" s="1084" t="s">
        <v>289</v>
      </c>
      <c r="X451" s="1084"/>
      <c r="Y451" s="1311"/>
      <c r="AD451" s="11"/>
      <c r="AE451" s="12"/>
      <c r="AF451" s="13"/>
      <c r="AG451" s="13"/>
      <c r="AS451" s="14"/>
      <c r="AT451" s="13"/>
      <c r="AU451" s="13"/>
      <c r="AV451" s="13"/>
      <c r="AW451" s="13"/>
      <c r="AX451" s="15"/>
      <c r="AY451" s="16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</row>
    <row r="452" spans="1:62" ht="15" customHeight="1">
      <c r="A452" s="136"/>
      <c r="B452" s="1325">
        <f>$F$5</f>
        <v>3.8</v>
      </c>
      <c r="C452" s="1326"/>
      <c r="D452" s="1326"/>
      <c r="E452" s="1335">
        <f>$J$5</f>
        <v>3.9</v>
      </c>
      <c r="F452" s="1335"/>
      <c r="G452" s="1335"/>
      <c r="H452" s="1335"/>
      <c r="I452" s="1335">
        <f>+$N$5</f>
        <v>0.16</v>
      </c>
      <c r="J452" s="1335"/>
      <c r="K452" s="1335"/>
      <c r="L452" s="1335"/>
      <c r="M452" s="1332">
        <f>+R5</f>
        <v>150</v>
      </c>
      <c r="N452" s="1332"/>
      <c r="O452" s="1332"/>
      <c r="P452" s="1332"/>
      <c r="Q452" s="1331">
        <f>+F167</f>
        <v>2.88</v>
      </c>
      <c r="R452" s="1332"/>
      <c r="S452" s="1332"/>
      <c r="T452" s="1333">
        <f>+IF(Q452/(M452-Q452)&gt;1,0.5,1-0.5*(Q452/(M452-Q452)))</f>
        <v>0.9902120717781403</v>
      </c>
      <c r="U452" s="1333"/>
      <c r="V452" s="1333"/>
      <c r="W452" s="1333">
        <f>+U493</f>
        <v>1.4352182518111363</v>
      </c>
      <c r="X452" s="1333"/>
      <c r="Y452" s="1308"/>
      <c r="AD452" s="11"/>
      <c r="AE452" s="12"/>
      <c r="AF452" s="13"/>
      <c r="AG452" s="13"/>
      <c r="AS452" s="14"/>
      <c r="AT452" s="13"/>
      <c r="AU452" s="13"/>
      <c r="AV452" s="13"/>
      <c r="AW452" s="13"/>
      <c r="AX452" s="15"/>
      <c r="AY452" s="16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</row>
    <row r="453" spans="1:62" ht="15" customHeight="1" thickBot="1">
      <c r="A453" s="136"/>
      <c r="B453" s="159"/>
      <c r="C453" s="159"/>
      <c r="D453" s="159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258"/>
      <c r="R453" s="258"/>
      <c r="S453" s="258"/>
      <c r="T453" s="258"/>
      <c r="U453" s="258"/>
      <c r="V453" s="258"/>
      <c r="W453" s="258"/>
      <c r="X453" s="252"/>
      <c r="Y453" s="252"/>
      <c r="AD453" s="11"/>
      <c r="AE453" s="12"/>
      <c r="AF453" s="13"/>
      <c r="AG453" s="13"/>
      <c r="AS453" s="14"/>
      <c r="AT453" s="13"/>
      <c r="AU453" s="13"/>
      <c r="AV453" s="13"/>
      <c r="AW453" s="13"/>
      <c r="AX453" s="15"/>
      <c r="AY453" s="16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</row>
    <row r="454" spans="1:62" ht="15" customHeight="1" thickTop="1">
      <c r="A454" s="136"/>
      <c r="B454" s="1340" t="s">
        <v>294</v>
      </c>
      <c r="C454" s="1341"/>
      <c r="D454" s="1342"/>
      <c r="E454" s="1349" t="s">
        <v>49</v>
      </c>
      <c r="F454" s="1349"/>
      <c r="G454" s="1351" t="s">
        <v>291</v>
      </c>
      <c r="H454" s="1351"/>
      <c r="I454" s="1351"/>
      <c r="J454" s="1349" t="s">
        <v>55</v>
      </c>
      <c r="K454" s="1349"/>
      <c r="L454" s="1349"/>
      <c r="M454" s="1349" t="s">
        <v>292</v>
      </c>
      <c r="N454" s="1349"/>
      <c r="O454" s="1353" t="s">
        <v>293</v>
      </c>
      <c r="P454" s="1353"/>
      <c r="Q454" s="1354"/>
      <c r="S454" s="259"/>
      <c r="T454" s="259"/>
      <c r="U454" s="259"/>
      <c r="V454" s="259"/>
      <c r="X454" s="259"/>
      <c r="Y454" s="259"/>
      <c r="Z454" s="259"/>
      <c r="AC454" s="452"/>
      <c r="AD454" s="502" t="s">
        <v>280</v>
      </c>
      <c r="AE454" s="513" t="s">
        <v>281</v>
      </c>
      <c r="AF454" s="501"/>
      <c r="AG454" s="501"/>
      <c r="AH454" s="452"/>
      <c r="AI454" s="452"/>
      <c r="AJ454" s="452"/>
      <c r="AK454" s="452"/>
      <c r="AL454" s="452"/>
      <c r="AM454" s="452"/>
      <c r="AN454" s="452"/>
      <c r="AO454" s="452"/>
      <c r="AP454" s="452"/>
      <c r="AQ454" s="452"/>
      <c r="AR454" s="452"/>
      <c r="AS454" s="514"/>
      <c r="AT454" s="13"/>
      <c r="AU454" s="13"/>
      <c r="AV454" s="13"/>
      <c r="AW454" s="13"/>
      <c r="AX454" s="15"/>
      <c r="AY454" s="16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</row>
    <row r="455" spans="1:62" ht="15" customHeight="1">
      <c r="A455" s="136"/>
      <c r="B455" s="1343"/>
      <c r="C455" s="1344"/>
      <c r="D455" s="1345"/>
      <c r="E455" s="1350"/>
      <c r="F455" s="1350"/>
      <c r="G455" s="1352"/>
      <c r="H455" s="1352"/>
      <c r="I455" s="1352"/>
      <c r="J455" s="1350"/>
      <c r="K455" s="1350"/>
      <c r="L455" s="1350"/>
      <c r="M455" s="1350"/>
      <c r="N455" s="1350"/>
      <c r="O455" s="1355"/>
      <c r="P455" s="1355"/>
      <c r="Q455" s="1356"/>
      <c r="S455" s="259"/>
      <c r="T455" s="259"/>
      <c r="U455" s="259"/>
      <c r="V455" s="259"/>
      <c r="X455" s="259"/>
      <c r="Y455" s="259"/>
      <c r="Z455" s="259"/>
      <c r="AD455" s="11"/>
      <c r="AE455" s="12"/>
      <c r="AF455" s="13"/>
      <c r="AG455" s="13"/>
      <c r="AJ455" s="490" t="s">
        <v>326</v>
      </c>
      <c r="AK455" s="490" t="s">
        <v>314</v>
      </c>
      <c r="AL455" s="1339" t="s">
        <v>326</v>
      </c>
      <c r="AM455" s="1339"/>
      <c r="AN455" s="1339" t="s">
        <v>314</v>
      </c>
      <c r="AO455" s="1339"/>
      <c r="AS455" s="14" t="s">
        <v>11</v>
      </c>
      <c r="AT455" s="13"/>
      <c r="AU455" s="13"/>
      <c r="AV455" s="13"/>
      <c r="AW455" s="13"/>
      <c r="AX455" s="15"/>
      <c r="AY455" s="16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</row>
    <row r="456" spans="1:62" ht="15" customHeight="1">
      <c r="A456" s="136"/>
      <c r="B456" s="1343"/>
      <c r="C456" s="1344"/>
      <c r="D456" s="1345"/>
      <c r="E456" s="1357" t="s">
        <v>20</v>
      </c>
      <c r="F456" s="1357"/>
      <c r="G456" s="1358" t="s">
        <v>295</v>
      </c>
      <c r="H456" s="1358"/>
      <c r="I456" s="1358"/>
      <c r="J456" s="1359" t="s">
        <v>296</v>
      </c>
      <c r="K456" s="1359"/>
      <c r="L456" s="1359"/>
      <c r="M456" s="1359" t="s">
        <v>297</v>
      </c>
      <c r="N456" s="1359"/>
      <c r="O456" s="1359" t="s">
        <v>298</v>
      </c>
      <c r="P456" s="1359"/>
      <c r="Q456" s="1360"/>
      <c r="S456" s="260"/>
      <c r="T456" s="260"/>
      <c r="U456" s="260"/>
      <c r="V456" s="260"/>
      <c r="X456" s="12"/>
      <c r="Y456" s="12"/>
      <c r="Z456" s="12"/>
      <c r="AD456" s="958" t="s">
        <v>19</v>
      </c>
      <c r="AE456" s="959"/>
      <c r="AF456" s="960"/>
      <c r="AG456" s="1365" t="s">
        <v>20</v>
      </c>
      <c r="AH456" s="1366"/>
      <c r="AI456" s="18" t="s">
        <v>21</v>
      </c>
      <c r="AJ456" s="928" t="s">
        <v>22</v>
      </c>
      <c r="AK456" s="928" t="s">
        <v>22</v>
      </c>
      <c r="AL456" s="18" t="s">
        <v>23</v>
      </c>
      <c r="AM456" s="1337" t="s">
        <v>24</v>
      </c>
      <c r="AN456" s="18" t="s">
        <v>23</v>
      </c>
      <c r="AO456" s="1337" t="s">
        <v>24</v>
      </c>
      <c r="AP456" s="11"/>
      <c r="AQ456" s="968" t="s">
        <v>25</v>
      </c>
      <c r="AR456" s="19"/>
      <c r="AS456" s="968" t="s">
        <v>26</v>
      </c>
      <c r="AT456" s="968"/>
      <c r="AU456" s="968" t="s">
        <v>27</v>
      </c>
      <c r="AV456" s="968"/>
      <c r="AW456" s="13"/>
      <c r="AX456" s="15"/>
      <c r="AY456" s="16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</row>
    <row r="457" spans="1:62" ht="15" customHeight="1">
      <c r="A457" s="136"/>
      <c r="B457" s="1346"/>
      <c r="C457" s="1347"/>
      <c r="D457" s="1348"/>
      <c r="E457" s="1357"/>
      <c r="F457" s="1357"/>
      <c r="G457" s="1358"/>
      <c r="H457" s="1358"/>
      <c r="I457" s="1358"/>
      <c r="J457" s="1359"/>
      <c r="K457" s="1359"/>
      <c r="L457" s="1359"/>
      <c r="M457" s="1359"/>
      <c r="N457" s="1359"/>
      <c r="O457" s="1359"/>
      <c r="P457" s="1359"/>
      <c r="Q457" s="1360"/>
      <c r="S457" s="260"/>
      <c r="T457" s="260"/>
      <c r="U457" s="260"/>
      <c r="V457" s="260"/>
      <c r="X457" s="12"/>
      <c r="Y457" s="12"/>
      <c r="Z457" s="12"/>
      <c r="AD457" s="961"/>
      <c r="AE457" s="962"/>
      <c r="AF457" s="963"/>
      <c r="AG457" s="1367"/>
      <c r="AH457" s="1368"/>
      <c r="AI457" s="539" t="s">
        <v>30</v>
      </c>
      <c r="AJ457" s="929"/>
      <c r="AK457" s="929"/>
      <c r="AL457" s="539" t="s">
        <v>31</v>
      </c>
      <c r="AM457" s="1338"/>
      <c r="AN457" s="539" t="s">
        <v>31</v>
      </c>
      <c r="AO457" s="1338"/>
      <c r="AP457" s="11"/>
      <c r="AQ457" s="968"/>
      <c r="AR457" s="19"/>
      <c r="AS457" s="968"/>
      <c r="AT457" s="968"/>
      <c r="AU457" s="968"/>
      <c r="AV457" s="968"/>
      <c r="AW457" s="13"/>
      <c r="AX457" s="15"/>
      <c r="AY457" s="16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</row>
    <row r="458" spans="1:62" ht="15" customHeight="1">
      <c r="A458" s="136"/>
      <c r="B458" s="569">
        <f>+AD458</f>
        <v>0.16</v>
      </c>
      <c r="C458" s="526" t="s">
        <v>35</v>
      </c>
      <c r="D458" s="572">
        <f t="shared" ref="D458:D466" si="16">+AF458</f>
        <v>1</v>
      </c>
      <c r="E458" s="909">
        <f>+D458-B458</f>
        <v>0.84</v>
      </c>
      <c r="F458" s="909"/>
      <c r="G458" s="910">
        <f>+AQ458</f>
        <v>0.42</v>
      </c>
      <c r="H458" s="910"/>
      <c r="I458" s="910"/>
      <c r="J458" s="912">
        <f>+AI458</f>
        <v>9500</v>
      </c>
      <c r="K458" s="912"/>
      <c r="L458" s="912"/>
      <c r="M458" s="906">
        <f>IF(($E$452/$B$452)&lt;10,AK458,AJ458)</f>
        <v>0.21034573829835121</v>
      </c>
      <c r="N458" s="906"/>
      <c r="O458" s="907">
        <f>IF(J458=0,0,IF(M458&lt;0,0,ROUND(M458*E458/J458,7)))</f>
        <v>1.8600000000000001E-5</v>
      </c>
      <c r="P458" s="907"/>
      <c r="Q458" s="908"/>
      <c r="S458" s="264"/>
      <c r="T458" s="264"/>
      <c r="U458" s="264"/>
      <c r="V458" s="264"/>
      <c r="X458" s="264"/>
      <c r="Y458" s="264"/>
      <c r="Z458" s="264"/>
      <c r="AD458" s="552">
        <f>+I452</f>
        <v>0.16</v>
      </c>
      <c r="AE458" s="557" t="s">
        <v>35</v>
      </c>
      <c r="AF458" s="551">
        <f t="shared" ref="AF458:AF484" si="17">+AK11</f>
        <v>1</v>
      </c>
      <c r="AG458" s="1361">
        <f t="shared" ref="AG458:AG462" si="18">AF458-AD458</f>
        <v>0.84</v>
      </c>
      <c r="AH458" s="1362"/>
      <c r="AI458" s="592">
        <f t="shared" ref="AI458:AI484" si="19">+AM11</f>
        <v>9500</v>
      </c>
      <c r="AJ458" s="604">
        <f>IF(AG458="","",(IF(AQ458&lt;AQ$503,(AQ458*$AL$501+$AM$501),(AQ458*$AL$502+$AM$502))))</f>
        <v>0.25748661136616657</v>
      </c>
      <c r="AK458" s="734">
        <f>IF(AG458="","",(IF(AQ458&lt;$AQ$499,($AL$497*AQ458+$AM$497),((AQ458*$AL$498+$AM$498)))))</f>
        <v>0.21034573829835121</v>
      </c>
      <c r="AL458" s="1363">
        <f t="shared" ref="AL458:AL482" si="20">IF(AK458&lt;0,0,IF(AI458=0,0,+AK458*AG458/AI458))</f>
        <v>1.8598991596906843E-5</v>
      </c>
      <c r="AM458" s="1364"/>
      <c r="AN458" s="1329">
        <f>+ROUND(IF(AJ458&lt;0,0,AJ458*AG458/AI458),7)</f>
        <v>2.2799999999999999E-5</v>
      </c>
      <c r="AO458" s="1330"/>
      <c r="AP458" s="553" t="str">
        <f>+IF(AG458=1,"","N")</f>
        <v>N</v>
      </c>
      <c r="AQ458" s="556">
        <f>SUM(AG458)/2</f>
        <v>0.42</v>
      </c>
      <c r="AR458" s="29"/>
      <c r="AS458" s="871">
        <v>1</v>
      </c>
      <c r="AT458" s="871"/>
      <c r="AU458" s="863">
        <f t="shared" ref="AU458:AU484" si="21">+AF11</f>
        <v>4</v>
      </c>
      <c r="AV458" s="864"/>
      <c r="AW458" s="13"/>
      <c r="AX458" s="15"/>
      <c r="AY458" s="16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</row>
    <row r="459" spans="1:62" ht="15" customHeight="1">
      <c r="A459" s="136"/>
      <c r="B459" s="569">
        <f t="shared" ref="B459:B466" si="22">+AD459</f>
        <v>1</v>
      </c>
      <c r="C459" s="526" t="s">
        <v>35</v>
      </c>
      <c r="D459" s="572">
        <f t="shared" si="16"/>
        <v>2</v>
      </c>
      <c r="E459" s="909">
        <f t="shared" ref="E459:E466" si="23">+D459-B459</f>
        <v>1</v>
      </c>
      <c r="F459" s="909"/>
      <c r="G459" s="910">
        <f t="shared" ref="G459:G466" si="24">+AQ459</f>
        <v>1.3399999999999999</v>
      </c>
      <c r="H459" s="910"/>
      <c r="I459" s="910"/>
      <c r="J459" s="912">
        <f t="shared" ref="J459:J466" si="25">+AI459</f>
        <v>10000</v>
      </c>
      <c r="K459" s="912"/>
      <c r="L459" s="912"/>
      <c r="M459" s="906">
        <f t="shared" ref="M459:M466" si="26">IF(($E$452/$B$452)&lt;10,AK459,AJ459)</f>
        <v>0.4526788939848494</v>
      </c>
      <c r="N459" s="906"/>
      <c r="O459" s="907">
        <f t="shared" ref="O459:O466" si="27">IF(J459=0,0,IF(M459&lt;0,0,ROUND(M459*E459/J459,7)))</f>
        <v>4.5300000000000003E-5</v>
      </c>
      <c r="P459" s="907"/>
      <c r="Q459" s="908"/>
      <c r="S459" s="264"/>
      <c r="T459" s="264"/>
      <c r="U459" s="264"/>
      <c r="V459" s="264"/>
      <c r="X459" s="264"/>
      <c r="Y459" s="264"/>
      <c r="Z459" s="264"/>
      <c r="AD459" s="41">
        <f>+AF458</f>
        <v>1</v>
      </c>
      <c r="AE459" s="24" t="s">
        <v>35</v>
      </c>
      <c r="AF459" s="551">
        <f t="shared" si="17"/>
        <v>2</v>
      </c>
      <c r="AG459" s="865">
        <f t="shared" si="18"/>
        <v>1</v>
      </c>
      <c r="AH459" s="866"/>
      <c r="AI459" s="592">
        <f t="shared" si="19"/>
        <v>10000</v>
      </c>
      <c r="AJ459" s="604">
        <f t="shared" ref="AJ459:AJ483" si="28">IF(AG459="","",(IF(AQ459&lt;AQ$503,(AQ459*$AL$501+$AM$501),(AQ459*$AL$502+$AM$502))))</f>
        <v>0.38340966483491223</v>
      </c>
      <c r="AK459" s="734">
        <f t="shared" ref="AK459:AK483" si="29">IF(AG459="","",(IF(AQ459&lt;$AQ$499,($AL$497*AQ459+$AM$497),((AQ459*$AL$498+$AM$498)))))</f>
        <v>0.4526788939848494</v>
      </c>
      <c r="AL459" s="1327">
        <f t="shared" si="20"/>
        <v>4.526788939848494E-5</v>
      </c>
      <c r="AM459" s="1328"/>
      <c r="AN459" s="1329">
        <f t="shared" ref="AN459:AN483" si="30">+ROUND(IF(AJ459&lt;0,0,AJ459*AG459/AI459),7)</f>
        <v>3.8300000000000003E-5</v>
      </c>
      <c r="AO459" s="1330"/>
      <c r="AP459" s="553" t="str">
        <f t="shared" ref="AP459:AP484" si="31">+IF(AG459=1,"","N")</f>
        <v/>
      </c>
      <c r="AQ459" s="556">
        <f>SUM(AG458)+(AG459/2)</f>
        <v>1.3399999999999999</v>
      </c>
      <c r="AR459" s="29"/>
      <c r="AS459" s="871">
        <v>2</v>
      </c>
      <c r="AT459" s="871"/>
      <c r="AU459" s="863">
        <f t="shared" si="21"/>
        <v>5</v>
      </c>
      <c r="AV459" s="864"/>
      <c r="AW459" s="13"/>
      <c r="AX459" s="15"/>
      <c r="AY459" s="16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</row>
    <row r="460" spans="1:62" ht="15" customHeight="1">
      <c r="A460" s="136"/>
      <c r="B460" s="569">
        <f t="shared" si="22"/>
        <v>2</v>
      </c>
      <c r="C460" s="526" t="s">
        <v>35</v>
      </c>
      <c r="D460" s="572">
        <f t="shared" si="16"/>
        <v>3</v>
      </c>
      <c r="E460" s="909">
        <f t="shared" si="23"/>
        <v>1</v>
      </c>
      <c r="F460" s="909"/>
      <c r="G460" s="910">
        <f t="shared" si="24"/>
        <v>2.34</v>
      </c>
      <c r="H460" s="910"/>
      <c r="I460" s="910"/>
      <c r="J460" s="912">
        <f t="shared" si="25"/>
        <v>10000</v>
      </c>
      <c r="K460" s="912"/>
      <c r="L460" s="912"/>
      <c r="M460" s="906">
        <f t="shared" si="26"/>
        <v>0.55557087148322581</v>
      </c>
      <c r="N460" s="906"/>
      <c r="O460" s="907">
        <f t="shared" si="27"/>
        <v>5.5600000000000003E-5</v>
      </c>
      <c r="P460" s="907"/>
      <c r="Q460" s="908"/>
      <c r="S460" s="264"/>
      <c r="T460" s="264"/>
      <c r="U460" s="264"/>
      <c r="V460" s="264"/>
      <c r="X460" s="264"/>
      <c r="Y460" s="264"/>
      <c r="Z460" s="264"/>
      <c r="AD460" s="41">
        <f t="shared" ref="AD460:AD461" si="32">+AF459</f>
        <v>2</v>
      </c>
      <c r="AE460" s="24" t="s">
        <v>35</v>
      </c>
      <c r="AF460" s="551">
        <f t="shared" si="17"/>
        <v>3</v>
      </c>
      <c r="AG460" s="865">
        <f t="shared" si="18"/>
        <v>1</v>
      </c>
      <c r="AH460" s="866"/>
      <c r="AI460" s="592">
        <f t="shared" si="19"/>
        <v>10000</v>
      </c>
      <c r="AJ460" s="604">
        <f t="shared" si="28"/>
        <v>0.52028254904007065</v>
      </c>
      <c r="AK460" s="734">
        <f t="shared" si="29"/>
        <v>0.55557087148322581</v>
      </c>
      <c r="AL460" s="1327">
        <f t="shared" si="20"/>
        <v>5.5557087148322579E-5</v>
      </c>
      <c r="AM460" s="1328"/>
      <c r="AN460" s="1329">
        <f t="shared" si="30"/>
        <v>5.1999999999999997E-5</v>
      </c>
      <c r="AO460" s="1330"/>
      <c r="AP460" s="553" t="str">
        <f t="shared" si="31"/>
        <v/>
      </c>
      <c r="AQ460" s="556">
        <f>SUM($AG$458:AH459)+(AG460/2)</f>
        <v>2.34</v>
      </c>
      <c r="AR460" s="29"/>
      <c r="AS460" s="871">
        <v>3</v>
      </c>
      <c r="AT460" s="871"/>
      <c r="AU460" s="863">
        <f t="shared" si="21"/>
        <v>5</v>
      </c>
      <c r="AV460" s="864"/>
      <c r="AW460" s="13"/>
      <c r="AX460" s="20"/>
      <c r="AY460" s="20"/>
      <c r="AZ460" s="20"/>
      <c r="BA460" s="20"/>
      <c r="BB460" s="20"/>
      <c r="BC460" s="21"/>
      <c r="BD460" s="21"/>
      <c r="BE460" s="21"/>
      <c r="BF460" s="21"/>
      <c r="BG460" s="21"/>
      <c r="BH460" s="20"/>
      <c r="BI460" s="20"/>
      <c r="BJ460" s="20"/>
    </row>
    <row r="461" spans="1:62" ht="15" customHeight="1">
      <c r="A461" s="136"/>
      <c r="B461" s="569">
        <f t="shared" si="22"/>
        <v>3</v>
      </c>
      <c r="C461" s="526" t="s">
        <v>35</v>
      </c>
      <c r="D461" s="572">
        <f t="shared" si="16"/>
        <v>4</v>
      </c>
      <c r="E461" s="909">
        <f t="shared" si="23"/>
        <v>1</v>
      </c>
      <c r="F461" s="909"/>
      <c r="G461" s="910">
        <f t="shared" si="24"/>
        <v>3.34</v>
      </c>
      <c r="H461" s="910"/>
      <c r="I461" s="910"/>
      <c r="J461" s="912">
        <f t="shared" si="25"/>
        <v>9500</v>
      </c>
      <c r="K461" s="912"/>
      <c r="L461" s="912"/>
      <c r="M461" s="906">
        <f t="shared" si="26"/>
        <v>0.44951249457490899</v>
      </c>
      <c r="N461" s="906"/>
      <c r="O461" s="907">
        <f t="shared" si="27"/>
        <v>4.7299999999999998E-5</v>
      </c>
      <c r="P461" s="907"/>
      <c r="Q461" s="908"/>
      <c r="S461" s="264"/>
      <c r="T461" s="264"/>
      <c r="U461" s="264"/>
      <c r="V461" s="264"/>
      <c r="X461" s="264"/>
      <c r="Y461" s="264"/>
      <c r="Z461" s="264"/>
      <c r="AD461" s="41">
        <f t="shared" si="32"/>
        <v>3</v>
      </c>
      <c r="AE461" s="24" t="s">
        <v>35</v>
      </c>
      <c r="AF461" s="551">
        <f t="shared" si="17"/>
        <v>4</v>
      </c>
      <c r="AG461" s="865">
        <f t="shared" si="18"/>
        <v>1</v>
      </c>
      <c r="AH461" s="866"/>
      <c r="AI461" s="592">
        <f t="shared" si="19"/>
        <v>9500</v>
      </c>
      <c r="AJ461" s="604">
        <f t="shared" si="28"/>
        <v>0.65715543324522918</v>
      </c>
      <c r="AK461" s="734">
        <f t="shared" si="29"/>
        <v>0.44951249457490899</v>
      </c>
      <c r="AL461" s="1327">
        <f t="shared" si="20"/>
        <v>4.7317104692095685E-5</v>
      </c>
      <c r="AM461" s="1328"/>
      <c r="AN461" s="1329">
        <f t="shared" si="30"/>
        <v>6.9200000000000002E-5</v>
      </c>
      <c r="AO461" s="1330"/>
      <c r="AP461" s="553" t="str">
        <f t="shared" si="31"/>
        <v/>
      </c>
      <c r="AQ461" s="556">
        <f>SUM($AG$458:AH460)+(AG461/2)</f>
        <v>3.34</v>
      </c>
      <c r="AR461" s="29"/>
      <c r="AS461" s="871">
        <v>4</v>
      </c>
      <c r="AT461" s="871"/>
      <c r="AU461" s="863">
        <f t="shared" si="21"/>
        <v>4</v>
      </c>
      <c r="AV461" s="864"/>
      <c r="AW461" s="13"/>
      <c r="AX461" s="20"/>
      <c r="AY461" s="20"/>
      <c r="AZ461" s="20"/>
      <c r="BA461" s="20"/>
      <c r="BB461" s="20"/>
      <c r="BC461" s="17"/>
      <c r="BD461" s="17"/>
      <c r="BE461" s="17"/>
      <c r="BF461" s="17"/>
      <c r="BG461" s="17"/>
      <c r="BH461" s="17"/>
      <c r="BI461" s="17"/>
      <c r="BJ461" s="17"/>
    </row>
    <row r="462" spans="1:62" ht="15" customHeight="1">
      <c r="A462" s="136"/>
      <c r="B462" s="569">
        <f t="shared" si="22"/>
        <v>4</v>
      </c>
      <c r="C462" s="526" t="s">
        <v>35</v>
      </c>
      <c r="D462" s="572">
        <f t="shared" si="16"/>
        <v>5</v>
      </c>
      <c r="E462" s="909">
        <f t="shared" si="23"/>
        <v>1</v>
      </c>
      <c r="F462" s="909"/>
      <c r="G462" s="910">
        <f t="shared" si="24"/>
        <v>4.34</v>
      </c>
      <c r="H462" s="910"/>
      <c r="I462" s="910"/>
      <c r="J462" s="912">
        <f t="shared" si="25"/>
        <v>9000</v>
      </c>
      <c r="K462" s="912"/>
      <c r="L462" s="912"/>
      <c r="M462" s="906">
        <f t="shared" si="26"/>
        <v>0.34345411766659217</v>
      </c>
      <c r="N462" s="906"/>
      <c r="O462" s="907">
        <f t="shared" si="27"/>
        <v>3.82E-5</v>
      </c>
      <c r="P462" s="907"/>
      <c r="Q462" s="908"/>
      <c r="S462" s="264"/>
      <c r="T462" s="264"/>
      <c r="U462" s="264"/>
      <c r="V462" s="264"/>
      <c r="X462" s="264"/>
      <c r="Y462" s="264"/>
      <c r="Z462" s="264"/>
      <c r="AD462" s="41">
        <f>+AF461</f>
        <v>4</v>
      </c>
      <c r="AE462" s="24" t="s">
        <v>35</v>
      </c>
      <c r="AF462" s="551">
        <f t="shared" si="17"/>
        <v>5</v>
      </c>
      <c r="AG462" s="865">
        <f t="shared" si="18"/>
        <v>1</v>
      </c>
      <c r="AH462" s="866"/>
      <c r="AI462" s="592">
        <f t="shared" si="19"/>
        <v>9000</v>
      </c>
      <c r="AJ462" s="604">
        <f t="shared" si="28"/>
        <v>0.68600615661214714</v>
      </c>
      <c r="AK462" s="734">
        <f t="shared" si="29"/>
        <v>0.34345411766659217</v>
      </c>
      <c r="AL462" s="1327">
        <f t="shared" si="20"/>
        <v>3.8161568629621351E-5</v>
      </c>
      <c r="AM462" s="1328"/>
      <c r="AN462" s="1329">
        <f t="shared" si="30"/>
        <v>7.6199999999999995E-5</v>
      </c>
      <c r="AO462" s="1330"/>
      <c r="AP462" s="553" t="str">
        <f t="shared" si="31"/>
        <v/>
      </c>
      <c r="AQ462" s="556">
        <f>SUM($AG$458:AH461)+(AG462/2)</f>
        <v>4.34</v>
      </c>
      <c r="AR462" s="29"/>
      <c r="AS462" s="871">
        <v>5</v>
      </c>
      <c r="AT462" s="871"/>
      <c r="AU462" s="863">
        <f t="shared" si="21"/>
        <v>3</v>
      </c>
      <c r="AV462" s="864"/>
      <c r="AW462" s="13"/>
      <c r="AX462" s="15"/>
      <c r="AY462" s="16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</row>
    <row r="463" spans="1:62" ht="15" customHeight="1">
      <c r="A463" s="136"/>
      <c r="B463" s="569">
        <f t="shared" si="22"/>
        <v>5</v>
      </c>
      <c r="C463" s="526" t="s">
        <v>35</v>
      </c>
      <c r="D463" s="572">
        <f t="shared" si="16"/>
        <v>6</v>
      </c>
      <c r="E463" s="909">
        <f t="shared" si="23"/>
        <v>1</v>
      </c>
      <c r="F463" s="909"/>
      <c r="G463" s="910">
        <f t="shared" si="24"/>
        <v>5.34</v>
      </c>
      <c r="H463" s="910"/>
      <c r="I463" s="910"/>
      <c r="J463" s="912">
        <f t="shared" si="25"/>
        <v>13000</v>
      </c>
      <c r="K463" s="912"/>
      <c r="L463" s="912"/>
      <c r="M463" s="906">
        <f t="shared" si="26"/>
        <v>0.2373957407582753</v>
      </c>
      <c r="N463" s="906"/>
      <c r="O463" s="907">
        <f t="shared" si="27"/>
        <v>1.8300000000000001E-5</v>
      </c>
      <c r="P463" s="907"/>
      <c r="Q463" s="908"/>
      <c r="S463" s="264"/>
      <c r="T463" s="264"/>
      <c r="U463" s="264"/>
      <c r="V463" s="264"/>
      <c r="X463" s="264"/>
      <c r="Y463" s="264"/>
      <c r="Z463" s="264"/>
      <c r="AD463" s="41">
        <f t="shared" ref="AD463:AD465" si="33">+AF462</f>
        <v>5</v>
      </c>
      <c r="AE463" s="24" t="s">
        <v>35</v>
      </c>
      <c r="AF463" s="551">
        <f t="shared" si="17"/>
        <v>6</v>
      </c>
      <c r="AG463" s="865">
        <f>AF463-AD463</f>
        <v>1</v>
      </c>
      <c r="AH463" s="866"/>
      <c r="AI463" s="592">
        <f t="shared" si="19"/>
        <v>13000</v>
      </c>
      <c r="AJ463" s="604">
        <f t="shared" si="28"/>
        <v>0.62283800222797148</v>
      </c>
      <c r="AK463" s="734">
        <f t="shared" si="29"/>
        <v>0.2373957407582753</v>
      </c>
      <c r="AL463" s="1327">
        <f t="shared" si="20"/>
        <v>1.8261210827559637E-5</v>
      </c>
      <c r="AM463" s="1328"/>
      <c r="AN463" s="1329">
        <f t="shared" si="30"/>
        <v>4.7899999999999999E-5</v>
      </c>
      <c r="AO463" s="1330"/>
      <c r="AP463" s="553" t="str">
        <f t="shared" si="31"/>
        <v/>
      </c>
      <c r="AQ463" s="556">
        <f>SUM($AG$458:AH462)+(AG463/2)</f>
        <v>5.34</v>
      </c>
      <c r="AR463" s="29"/>
      <c r="AS463" s="871">
        <v>6</v>
      </c>
      <c r="AT463" s="871"/>
      <c r="AU463" s="863">
        <f t="shared" si="21"/>
        <v>11</v>
      </c>
      <c r="AV463" s="864"/>
      <c r="AW463" s="13"/>
      <c r="AX463" s="20"/>
      <c r="AY463" s="20"/>
      <c r="AZ463" s="20"/>
      <c r="BA463" s="20"/>
      <c r="BB463" s="20"/>
      <c r="BC463" s="21"/>
      <c r="BD463" s="21"/>
      <c r="BE463" s="21"/>
      <c r="BF463" s="21"/>
      <c r="BG463" s="21"/>
      <c r="BH463" s="20"/>
      <c r="BI463" s="20"/>
      <c r="BJ463" s="20"/>
    </row>
    <row r="464" spans="1:62" ht="15" customHeight="1">
      <c r="A464" s="136"/>
      <c r="B464" s="569">
        <f t="shared" si="22"/>
        <v>6</v>
      </c>
      <c r="C464" s="526" t="s">
        <v>35</v>
      </c>
      <c r="D464" s="572">
        <f t="shared" si="16"/>
        <v>7</v>
      </c>
      <c r="E464" s="909">
        <f t="shared" si="23"/>
        <v>1</v>
      </c>
      <c r="F464" s="909"/>
      <c r="G464" s="910">
        <f t="shared" si="24"/>
        <v>6.34</v>
      </c>
      <c r="H464" s="910"/>
      <c r="I464" s="910"/>
      <c r="J464" s="912">
        <f t="shared" si="25"/>
        <v>299600</v>
      </c>
      <c r="K464" s="912"/>
      <c r="L464" s="912"/>
      <c r="M464" s="906">
        <f t="shared" si="26"/>
        <v>0.13133736384995853</v>
      </c>
      <c r="N464" s="906"/>
      <c r="O464" s="907">
        <f t="shared" si="27"/>
        <v>3.9999999999999998E-7</v>
      </c>
      <c r="P464" s="907"/>
      <c r="Q464" s="908"/>
      <c r="S464" s="264"/>
      <c r="T464" s="264"/>
      <c r="U464" s="264"/>
      <c r="V464" s="264"/>
      <c r="X464" s="264"/>
      <c r="Y464" s="264"/>
      <c r="Z464" s="264"/>
      <c r="AD464" s="41">
        <f t="shared" si="33"/>
        <v>6</v>
      </c>
      <c r="AE464" s="24" t="s">
        <v>35</v>
      </c>
      <c r="AF464" s="551">
        <f t="shared" si="17"/>
        <v>7</v>
      </c>
      <c r="AG464" s="865">
        <f>AF464-AD464</f>
        <v>1</v>
      </c>
      <c r="AH464" s="866"/>
      <c r="AI464" s="592">
        <f t="shared" si="19"/>
        <v>299600</v>
      </c>
      <c r="AJ464" s="604">
        <f t="shared" si="28"/>
        <v>0.55966984784379581</v>
      </c>
      <c r="AK464" s="734">
        <f t="shared" si="29"/>
        <v>0.13133736384995853</v>
      </c>
      <c r="AL464" s="1327">
        <f t="shared" si="20"/>
        <v>4.3837571378490832E-7</v>
      </c>
      <c r="AM464" s="1328"/>
      <c r="AN464" s="1329">
        <f t="shared" si="30"/>
        <v>1.9E-6</v>
      </c>
      <c r="AO464" s="1330"/>
      <c r="AP464" s="553" t="str">
        <f t="shared" si="31"/>
        <v/>
      </c>
      <c r="AQ464" s="556">
        <f>SUM($AG$458:AH463)+(AG464/2)</f>
        <v>6.34</v>
      </c>
      <c r="AR464" s="29"/>
      <c r="AS464" s="871">
        <v>7</v>
      </c>
      <c r="AT464" s="871"/>
      <c r="AU464" s="863">
        <f t="shared" si="21"/>
        <v>214</v>
      </c>
      <c r="AV464" s="864"/>
      <c r="AW464" s="13"/>
      <c r="AX464" s="20"/>
      <c r="AY464" s="20"/>
      <c r="AZ464" s="20"/>
      <c r="BA464" s="20"/>
      <c r="BB464" s="20"/>
      <c r="BC464" s="17"/>
      <c r="BD464" s="17"/>
      <c r="BE464" s="17"/>
      <c r="BF464" s="17"/>
      <c r="BG464" s="17"/>
      <c r="BH464" s="17"/>
      <c r="BI464" s="17"/>
      <c r="BJ464" s="17"/>
    </row>
    <row r="465" spans="1:62" ht="15" customHeight="1">
      <c r="A465" s="136"/>
      <c r="B465" s="569">
        <f t="shared" si="22"/>
        <v>7</v>
      </c>
      <c r="C465" s="526" t="s">
        <v>35</v>
      </c>
      <c r="D465" s="572">
        <f t="shared" si="16"/>
        <v>8</v>
      </c>
      <c r="E465" s="909">
        <f t="shared" si="23"/>
        <v>1</v>
      </c>
      <c r="F465" s="909"/>
      <c r="G465" s="910">
        <f t="shared" si="24"/>
        <v>7.34</v>
      </c>
      <c r="H465" s="910"/>
      <c r="I465" s="910"/>
      <c r="J465" s="912">
        <f t="shared" si="25"/>
        <v>525000</v>
      </c>
      <c r="K465" s="912"/>
      <c r="L465" s="912"/>
      <c r="M465" s="906">
        <f t="shared" si="26"/>
        <v>2.5278986941641657E-2</v>
      </c>
      <c r="N465" s="906"/>
      <c r="O465" s="907">
        <f t="shared" si="27"/>
        <v>0</v>
      </c>
      <c r="P465" s="907"/>
      <c r="Q465" s="908"/>
      <c r="S465" s="264"/>
      <c r="T465" s="264"/>
      <c r="U465" s="264"/>
      <c r="V465" s="264"/>
      <c r="X465" s="264"/>
      <c r="Y465" s="264"/>
      <c r="Z465" s="264"/>
      <c r="AD465" s="41">
        <f t="shared" si="33"/>
        <v>7</v>
      </c>
      <c r="AE465" s="24" t="s">
        <v>35</v>
      </c>
      <c r="AF465" s="551">
        <f t="shared" si="17"/>
        <v>8</v>
      </c>
      <c r="AG465" s="865">
        <f>AF465-AD465</f>
        <v>1</v>
      </c>
      <c r="AH465" s="866"/>
      <c r="AI465" s="592">
        <f t="shared" si="19"/>
        <v>525000</v>
      </c>
      <c r="AJ465" s="604">
        <f t="shared" si="28"/>
        <v>0.49650169345962025</v>
      </c>
      <c r="AK465" s="734">
        <f t="shared" si="29"/>
        <v>2.5278986941641657E-2</v>
      </c>
      <c r="AL465" s="1327">
        <f t="shared" si="20"/>
        <v>4.8150451317412679E-8</v>
      </c>
      <c r="AM465" s="1328"/>
      <c r="AN465" s="1329">
        <f t="shared" si="30"/>
        <v>8.9999999999999996E-7</v>
      </c>
      <c r="AO465" s="1330"/>
      <c r="AP465" s="553" t="str">
        <f t="shared" si="31"/>
        <v/>
      </c>
      <c r="AQ465" s="556">
        <f>SUM($AG$458:AH464)+(AG465/2)</f>
        <v>7.34</v>
      </c>
      <c r="AR465" s="29"/>
      <c r="AS465" s="871">
        <v>8</v>
      </c>
      <c r="AT465" s="871"/>
      <c r="AU465" s="863">
        <f t="shared" si="21"/>
        <v>375</v>
      </c>
      <c r="AV465" s="864"/>
      <c r="AW465" s="13"/>
      <c r="AX465" s="20"/>
      <c r="AY465" s="20"/>
      <c r="AZ465" s="20"/>
      <c r="BA465" s="20"/>
      <c r="BB465" s="20"/>
      <c r="BC465" s="352"/>
      <c r="BD465" s="352"/>
      <c r="BE465" s="352"/>
      <c r="BF465" s="352"/>
      <c r="BG465" s="352"/>
      <c r="BH465" s="17"/>
      <c r="BI465" s="17"/>
      <c r="BJ465" s="17"/>
    </row>
    <row r="466" spans="1:62" ht="15" customHeight="1">
      <c r="A466" s="136"/>
      <c r="B466" s="569">
        <f t="shared" si="22"/>
        <v>8</v>
      </c>
      <c r="C466" s="526" t="s">
        <v>35</v>
      </c>
      <c r="D466" s="572">
        <f t="shared" si="16"/>
        <v>9</v>
      </c>
      <c r="E466" s="909">
        <f t="shared" si="23"/>
        <v>1</v>
      </c>
      <c r="F466" s="909"/>
      <c r="G466" s="910">
        <f t="shared" si="24"/>
        <v>8.34</v>
      </c>
      <c r="H466" s="910"/>
      <c r="I466" s="910"/>
      <c r="J466" s="912">
        <f t="shared" si="25"/>
        <v>700000.00000000012</v>
      </c>
      <c r="K466" s="912"/>
      <c r="L466" s="912"/>
      <c r="M466" s="906">
        <f t="shared" si="26"/>
        <v>-8.0779389966675108E-2</v>
      </c>
      <c r="N466" s="906"/>
      <c r="O466" s="907">
        <f t="shared" si="27"/>
        <v>0</v>
      </c>
      <c r="P466" s="907"/>
      <c r="Q466" s="908"/>
      <c r="S466" s="264"/>
      <c r="T466" s="264"/>
      <c r="U466" s="264"/>
      <c r="V466" s="264"/>
      <c r="X466" s="264"/>
      <c r="Y466" s="264"/>
      <c r="Z466" s="264"/>
      <c r="AD466" s="41">
        <f>AF465</f>
        <v>8</v>
      </c>
      <c r="AE466" s="24" t="s">
        <v>35</v>
      </c>
      <c r="AF466" s="551">
        <f t="shared" si="17"/>
        <v>9</v>
      </c>
      <c r="AG466" s="865">
        <f>AF466-AD466</f>
        <v>1</v>
      </c>
      <c r="AH466" s="866"/>
      <c r="AI466" s="592">
        <f t="shared" si="19"/>
        <v>700000.00000000012</v>
      </c>
      <c r="AJ466" s="604">
        <f t="shared" si="28"/>
        <v>0.4333335390754447</v>
      </c>
      <c r="AK466" s="734">
        <f t="shared" si="29"/>
        <v>-8.0779389966675108E-2</v>
      </c>
      <c r="AL466" s="1327">
        <f t="shared" si="20"/>
        <v>0</v>
      </c>
      <c r="AM466" s="1328"/>
      <c r="AN466" s="1329">
        <f t="shared" si="30"/>
        <v>5.9999999999999997E-7</v>
      </c>
      <c r="AO466" s="1330"/>
      <c r="AP466" s="553" t="str">
        <f t="shared" si="31"/>
        <v/>
      </c>
      <c r="AQ466" s="556">
        <f>SUM($AG$458:AH465)+(AG466/2)</f>
        <v>8.34</v>
      </c>
      <c r="AR466" s="29"/>
      <c r="AS466" s="871">
        <v>9</v>
      </c>
      <c r="AT466" s="871"/>
      <c r="AU466" s="863">
        <f t="shared" si="21"/>
        <v>500.00000000000006</v>
      </c>
      <c r="AV466" s="864"/>
      <c r="AW466" s="13"/>
      <c r="AX466" s="20"/>
      <c r="AY466" s="20"/>
      <c r="AZ466" s="20"/>
      <c r="BA466" s="20"/>
      <c r="BB466" s="20"/>
      <c r="BC466" s="17"/>
      <c r="BD466" s="17"/>
      <c r="BE466" s="17"/>
      <c r="BF466" s="17"/>
      <c r="BG466" s="17"/>
      <c r="BH466" s="17"/>
      <c r="BI466" s="17"/>
      <c r="BJ466" s="17"/>
    </row>
    <row r="467" spans="1:62" ht="15" customHeight="1">
      <c r="A467" s="136"/>
      <c r="B467" s="569"/>
      <c r="C467" s="526"/>
      <c r="D467" s="572"/>
      <c r="E467" s="909"/>
      <c r="F467" s="909"/>
      <c r="G467" s="910"/>
      <c r="H467" s="910"/>
      <c r="I467" s="910"/>
      <c r="J467" s="912"/>
      <c r="K467" s="912"/>
      <c r="L467" s="912"/>
      <c r="M467" s="906"/>
      <c r="N467" s="906"/>
      <c r="O467" s="907"/>
      <c r="P467" s="907"/>
      <c r="Q467" s="908"/>
      <c r="S467" s="264"/>
      <c r="T467" s="264"/>
      <c r="U467" s="264"/>
      <c r="V467" s="264"/>
      <c r="X467" s="264"/>
      <c r="Y467" s="264"/>
      <c r="Z467" s="264"/>
      <c r="AD467" s="41">
        <f>AF466</f>
        <v>9</v>
      </c>
      <c r="AE467" s="24" t="s">
        <v>35</v>
      </c>
      <c r="AF467" s="551">
        <f t="shared" si="17"/>
        <v>10</v>
      </c>
      <c r="AG467" s="865">
        <f>AF467-AD467</f>
        <v>1</v>
      </c>
      <c r="AH467" s="866"/>
      <c r="AI467" s="592">
        <f t="shared" si="19"/>
        <v>700000.00000000012</v>
      </c>
      <c r="AJ467" s="604">
        <f t="shared" si="28"/>
        <v>0.37016538469126903</v>
      </c>
      <c r="AK467" s="734">
        <f t="shared" si="29"/>
        <v>-0.18683776687499198</v>
      </c>
      <c r="AL467" s="1327">
        <f t="shared" si="20"/>
        <v>0</v>
      </c>
      <c r="AM467" s="1328"/>
      <c r="AN467" s="1329">
        <f t="shared" si="30"/>
        <v>4.9999999999999998E-7</v>
      </c>
      <c r="AO467" s="1330"/>
      <c r="AP467" s="553" t="str">
        <f t="shared" si="31"/>
        <v/>
      </c>
      <c r="AQ467" s="556">
        <f>SUM($AG$458:AH466)+(AG467/2)</f>
        <v>9.34</v>
      </c>
      <c r="AR467" s="29"/>
      <c r="AS467" s="871">
        <v>10</v>
      </c>
      <c r="AT467" s="871"/>
      <c r="AU467" s="863">
        <f t="shared" si="21"/>
        <v>500.00000000000006</v>
      </c>
      <c r="AV467" s="864"/>
      <c r="AW467" s="40"/>
      <c r="AX467" s="20"/>
      <c r="AY467" s="20"/>
      <c r="AZ467" s="20"/>
      <c r="BA467" s="20"/>
      <c r="BB467" s="20"/>
      <c r="BC467" s="17"/>
      <c r="BD467" s="17"/>
      <c r="BE467" s="17"/>
      <c r="BF467" s="17"/>
      <c r="BG467" s="17"/>
      <c r="BH467" s="17"/>
      <c r="BI467" s="17"/>
      <c r="BJ467" s="17"/>
    </row>
    <row r="468" spans="1:62" ht="15" customHeight="1">
      <c r="A468" s="136"/>
      <c r="B468" s="569"/>
      <c r="C468" s="526"/>
      <c r="D468" s="572"/>
      <c r="E468" s="909"/>
      <c r="F468" s="909"/>
      <c r="G468" s="910"/>
      <c r="H468" s="910"/>
      <c r="I468" s="910"/>
      <c r="J468" s="912"/>
      <c r="K468" s="912"/>
      <c r="L468" s="912"/>
      <c r="M468" s="906"/>
      <c r="N468" s="906"/>
      <c r="O468" s="907"/>
      <c r="P468" s="907"/>
      <c r="Q468" s="908"/>
      <c r="S468" s="264"/>
      <c r="T468" s="264"/>
      <c r="U468" s="264"/>
      <c r="V468" s="264"/>
      <c r="X468" s="264"/>
      <c r="Y468" s="264"/>
      <c r="Z468" s="264"/>
      <c r="AD468" s="41">
        <f t="shared" ref="AD468:AD471" si="34">AF467</f>
        <v>10</v>
      </c>
      <c r="AE468" s="24" t="s">
        <v>35</v>
      </c>
      <c r="AF468" s="551">
        <f t="shared" si="17"/>
        <v>11</v>
      </c>
      <c r="AG468" s="865">
        <f t="shared" ref="AG468:AG471" si="35">AF468-AD468</f>
        <v>1</v>
      </c>
      <c r="AH468" s="866"/>
      <c r="AI468" s="592">
        <f t="shared" si="19"/>
        <v>1050000</v>
      </c>
      <c r="AJ468" s="604">
        <f t="shared" si="28"/>
        <v>0.30699723030709347</v>
      </c>
      <c r="AK468" s="734">
        <f t="shared" si="29"/>
        <v>-0.29289614378330886</v>
      </c>
      <c r="AL468" s="1327">
        <f t="shared" si="20"/>
        <v>0</v>
      </c>
      <c r="AM468" s="1328"/>
      <c r="AN468" s="1329">
        <f t="shared" si="30"/>
        <v>2.9999999999999999E-7</v>
      </c>
      <c r="AO468" s="1330"/>
      <c r="AP468" s="553" t="str">
        <f t="shared" si="31"/>
        <v/>
      </c>
      <c r="AQ468" s="556">
        <f>SUM($AG$458:AH467)+(AG468/2)</f>
        <v>10.34</v>
      </c>
      <c r="AR468" s="44"/>
      <c r="AS468" s="871">
        <v>11</v>
      </c>
      <c r="AT468" s="871"/>
      <c r="AU468" s="863">
        <f t="shared" si="21"/>
        <v>750</v>
      </c>
      <c r="AV468" s="864"/>
      <c r="AW468" s="40"/>
      <c r="AX468" s="20"/>
      <c r="AY468" s="20"/>
      <c r="AZ468" s="20"/>
      <c r="BA468" s="20"/>
      <c r="BB468" s="20"/>
      <c r="BC468" s="17"/>
      <c r="BD468" s="17"/>
      <c r="BE468" s="17"/>
      <c r="BF468" s="17"/>
      <c r="BG468" s="17"/>
      <c r="BH468" s="17"/>
      <c r="BI468" s="17"/>
      <c r="BJ468" s="17"/>
    </row>
    <row r="469" spans="1:62" ht="15" customHeight="1">
      <c r="A469" s="136"/>
      <c r="B469" s="569"/>
      <c r="C469" s="526"/>
      <c r="D469" s="572"/>
      <c r="E469" s="909"/>
      <c r="F469" s="909"/>
      <c r="G469" s="910"/>
      <c r="H469" s="910"/>
      <c r="I469" s="910"/>
      <c r="J469" s="912"/>
      <c r="K469" s="912"/>
      <c r="L469" s="912"/>
      <c r="M469" s="906"/>
      <c r="N469" s="906"/>
      <c r="O469" s="907"/>
      <c r="P469" s="907"/>
      <c r="Q469" s="908"/>
      <c r="S469" s="264"/>
      <c r="T469" s="264"/>
      <c r="U469" s="264"/>
      <c r="V469" s="264"/>
      <c r="X469" s="264"/>
      <c r="Y469" s="264"/>
      <c r="Z469" s="264"/>
      <c r="AD469" s="41">
        <f t="shared" si="34"/>
        <v>11</v>
      </c>
      <c r="AE469" s="24" t="s">
        <v>35</v>
      </c>
      <c r="AF469" s="551">
        <f t="shared" si="17"/>
        <v>12</v>
      </c>
      <c r="AG469" s="865">
        <f t="shared" si="35"/>
        <v>1</v>
      </c>
      <c r="AH469" s="866"/>
      <c r="AI469" s="592">
        <f t="shared" si="19"/>
        <v>1050000</v>
      </c>
      <c r="AJ469" s="604">
        <f t="shared" si="28"/>
        <v>0.2438290759229178</v>
      </c>
      <c r="AK469" s="734">
        <f t="shared" si="29"/>
        <v>-0.39895452069162562</v>
      </c>
      <c r="AL469" s="1327">
        <f t="shared" si="20"/>
        <v>0</v>
      </c>
      <c r="AM469" s="1328"/>
      <c r="AN469" s="1329">
        <f t="shared" si="30"/>
        <v>1.9999999999999999E-7</v>
      </c>
      <c r="AO469" s="1330"/>
      <c r="AP469" s="553" t="str">
        <f t="shared" si="31"/>
        <v/>
      </c>
      <c r="AQ469" s="556">
        <f>SUM($AG$458:AH468)+(AG469/2)</f>
        <v>11.34</v>
      </c>
      <c r="AR469" s="52"/>
      <c r="AS469" s="871">
        <v>12</v>
      </c>
      <c r="AT469" s="871"/>
      <c r="AU469" s="863">
        <f t="shared" si="21"/>
        <v>750</v>
      </c>
      <c r="AV469" s="864"/>
      <c r="AW469" s="40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</row>
    <row r="470" spans="1:62" ht="15" customHeight="1">
      <c r="A470" s="136"/>
      <c r="B470" s="569"/>
      <c r="C470" s="526"/>
      <c r="D470" s="572"/>
      <c r="E470" s="909"/>
      <c r="F470" s="909"/>
      <c r="G470" s="910"/>
      <c r="H470" s="910"/>
      <c r="I470" s="910"/>
      <c r="J470" s="912"/>
      <c r="K470" s="912"/>
      <c r="L470" s="912"/>
      <c r="M470" s="906"/>
      <c r="N470" s="906"/>
      <c r="O470" s="907"/>
      <c r="P470" s="907"/>
      <c r="Q470" s="908"/>
      <c r="S470" s="264"/>
      <c r="T470" s="264"/>
      <c r="U470" s="264"/>
      <c r="V470" s="264"/>
      <c r="X470" s="264"/>
      <c r="Y470" s="264"/>
      <c r="Z470" s="264"/>
      <c r="AD470" s="41">
        <f t="shared" si="34"/>
        <v>12</v>
      </c>
      <c r="AE470" s="24" t="s">
        <v>35</v>
      </c>
      <c r="AF470" s="551">
        <f t="shared" si="17"/>
        <v>13</v>
      </c>
      <c r="AG470" s="865">
        <f t="shared" si="35"/>
        <v>1</v>
      </c>
      <c r="AH470" s="866"/>
      <c r="AI470" s="592">
        <f t="shared" si="19"/>
        <v>1050000</v>
      </c>
      <c r="AJ470" s="604">
        <f t="shared" si="28"/>
        <v>0.18066092153874225</v>
      </c>
      <c r="AK470" s="734">
        <f t="shared" si="29"/>
        <v>-0.50501289759994239</v>
      </c>
      <c r="AL470" s="1327">
        <f t="shared" si="20"/>
        <v>0</v>
      </c>
      <c r="AM470" s="1328"/>
      <c r="AN470" s="1329">
        <f t="shared" si="30"/>
        <v>1.9999999999999999E-7</v>
      </c>
      <c r="AO470" s="1330"/>
      <c r="AP470" s="553" t="str">
        <f t="shared" si="31"/>
        <v/>
      </c>
      <c r="AQ470" s="556">
        <f>SUM($AG$458:AH469)+(AG470/2)</f>
        <v>12.34</v>
      </c>
      <c r="AR470" s="57"/>
      <c r="AS470" s="871">
        <v>13</v>
      </c>
      <c r="AT470" s="871"/>
      <c r="AU470" s="863">
        <f t="shared" si="21"/>
        <v>750</v>
      </c>
      <c r="AV470" s="864"/>
      <c r="AW470" s="40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</row>
    <row r="471" spans="1:62" ht="15" customHeight="1">
      <c r="A471" s="136"/>
      <c r="B471" s="569"/>
      <c r="C471" s="526"/>
      <c r="D471" s="572"/>
      <c r="E471" s="909"/>
      <c r="F471" s="909"/>
      <c r="G471" s="910"/>
      <c r="H471" s="910"/>
      <c r="I471" s="910"/>
      <c r="J471" s="912"/>
      <c r="K471" s="912"/>
      <c r="L471" s="912"/>
      <c r="M471" s="906"/>
      <c r="N471" s="906"/>
      <c r="O471" s="907"/>
      <c r="P471" s="907"/>
      <c r="Q471" s="908"/>
      <c r="S471" s="264"/>
      <c r="T471" s="264"/>
      <c r="U471" s="264"/>
      <c r="V471" s="264"/>
      <c r="X471" s="264"/>
      <c r="Y471" s="264"/>
      <c r="Z471" s="264"/>
      <c r="AD471" s="41">
        <f t="shared" si="34"/>
        <v>13</v>
      </c>
      <c r="AE471" s="24" t="s">
        <v>35</v>
      </c>
      <c r="AF471" s="551">
        <f t="shared" si="17"/>
        <v>14</v>
      </c>
      <c r="AG471" s="865">
        <f t="shared" si="35"/>
        <v>1</v>
      </c>
      <c r="AH471" s="866"/>
      <c r="AI471" s="592">
        <f t="shared" si="19"/>
        <v>1050000</v>
      </c>
      <c r="AJ471" s="604">
        <f t="shared" si="28"/>
        <v>0.11749276715456658</v>
      </c>
      <c r="AK471" s="734">
        <f t="shared" si="29"/>
        <v>-0.61107127450825915</v>
      </c>
      <c r="AL471" s="1327">
        <f t="shared" si="20"/>
        <v>0</v>
      </c>
      <c r="AM471" s="1328"/>
      <c r="AN471" s="1329">
        <f t="shared" si="30"/>
        <v>9.9999999999999995E-8</v>
      </c>
      <c r="AO471" s="1330"/>
      <c r="AP471" s="553" t="str">
        <f t="shared" si="31"/>
        <v/>
      </c>
      <c r="AQ471" s="556">
        <f>SUM($AG$458:AH470)+(AG471/2)</f>
        <v>13.34</v>
      </c>
      <c r="AR471" s="57"/>
      <c r="AS471" s="871">
        <v>14</v>
      </c>
      <c r="AT471" s="871"/>
      <c r="AU471" s="863">
        <f t="shared" si="21"/>
        <v>750</v>
      </c>
      <c r="AV471" s="864"/>
      <c r="AW471" s="40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</row>
    <row r="472" spans="1:62" ht="15" customHeight="1">
      <c r="A472" s="136"/>
      <c r="B472" s="569"/>
      <c r="C472" s="526"/>
      <c r="D472" s="572"/>
      <c r="E472" s="909"/>
      <c r="F472" s="909"/>
      <c r="G472" s="910"/>
      <c r="H472" s="910"/>
      <c r="I472" s="910"/>
      <c r="J472" s="912"/>
      <c r="K472" s="912"/>
      <c r="L472" s="912"/>
      <c r="M472" s="906"/>
      <c r="N472" s="906"/>
      <c r="O472" s="907"/>
      <c r="P472" s="907"/>
      <c r="Q472" s="908"/>
      <c r="S472" s="264"/>
      <c r="T472" s="264"/>
      <c r="U472" s="264"/>
      <c r="V472" s="264"/>
      <c r="X472" s="264"/>
      <c r="Y472" s="264"/>
      <c r="Z472" s="264"/>
      <c r="AD472" s="41">
        <f t="shared" ref="AD472:AD483" si="36">AF471</f>
        <v>14</v>
      </c>
      <c r="AE472" s="24" t="s">
        <v>35</v>
      </c>
      <c r="AF472" s="551">
        <f t="shared" si="17"/>
        <v>15</v>
      </c>
      <c r="AG472" s="865">
        <f t="shared" ref="AG472:AG483" si="37">AF472-AD472</f>
        <v>1</v>
      </c>
      <c r="AH472" s="866"/>
      <c r="AI472" s="592">
        <f t="shared" si="19"/>
        <v>1050000</v>
      </c>
      <c r="AJ472" s="604">
        <f t="shared" si="28"/>
        <v>5.4324612770391023E-2</v>
      </c>
      <c r="AK472" s="734">
        <f t="shared" si="29"/>
        <v>-0.71712965141657614</v>
      </c>
      <c r="AL472" s="1327">
        <f t="shared" si="20"/>
        <v>0</v>
      </c>
      <c r="AM472" s="1328"/>
      <c r="AN472" s="1329">
        <f t="shared" si="30"/>
        <v>9.9999999999999995E-8</v>
      </c>
      <c r="AO472" s="1330"/>
      <c r="AP472" s="553" t="str">
        <f t="shared" si="31"/>
        <v/>
      </c>
      <c r="AQ472" s="556">
        <f>SUM($AG$458:AH471)+(AG472/2)</f>
        <v>14.34</v>
      </c>
      <c r="AR472" s="57"/>
      <c r="AS472" s="871">
        <v>15</v>
      </c>
      <c r="AT472" s="871"/>
      <c r="AU472" s="863">
        <f t="shared" si="21"/>
        <v>750</v>
      </c>
      <c r="AV472" s="864"/>
      <c r="AW472" s="45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</row>
    <row r="473" spans="1:62" ht="15" customHeight="1">
      <c r="A473" s="136"/>
      <c r="B473" s="569"/>
      <c r="C473" s="526"/>
      <c r="D473" s="572"/>
      <c r="E473" s="909"/>
      <c r="F473" s="909"/>
      <c r="G473" s="910"/>
      <c r="H473" s="910"/>
      <c r="I473" s="910"/>
      <c r="J473" s="912"/>
      <c r="K473" s="912"/>
      <c r="L473" s="912"/>
      <c r="M473" s="906"/>
      <c r="N473" s="906"/>
      <c r="O473" s="907"/>
      <c r="P473" s="907"/>
      <c r="Q473" s="908"/>
      <c r="S473" s="264"/>
      <c r="T473" s="264"/>
      <c r="U473" s="264"/>
      <c r="V473" s="264"/>
      <c r="X473" s="264"/>
      <c r="Y473" s="264"/>
      <c r="Z473" s="264"/>
      <c r="AD473" s="41">
        <f t="shared" si="36"/>
        <v>15</v>
      </c>
      <c r="AE473" s="24" t="s">
        <v>35</v>
      </c>
      <c r="AF473" s="551">
        <f t="shared" si="17"/>
        <v>16</v>
      </c>
      <c r="AG473" s="865">
        <f t="shared" si="37"/>
        <v>1</v>
      </c>
      <c r="AH473" s="866"/>
      <c r="AI473" s="592">
        <f t="shared" si="19"/>
        <v>1050000</v>
      </c>
      <c r="AJ473" s="604">
        <f t="shared" si="28"/>
        <v>-8.8435416137846445E-3</v>
      </c>
      <c r="AK473" s="734">
        <f t="shared" si="29"/>
        <v>-0.82318802832489291</v>
      </c>
      <c r="AL473" s="1327">
        <f t="shared" si="20"/>
        <v>0</v>
      </c>
      <c r="AM473" s="1328"/>
      <c r="AN473" s="1329">
        <f t="shared" si="30"/>
        <v>0</v>
      </c>
      <c r="AO473" s="1330"/>
      <c r="AP473" s="553" t="str">
        <f t="shared" si="31"/>
        <v/>
      </c>
      <c r="AQ473" s="556">
        <f>SUM($AG$458:AH472)+(AG473/2)</f>
        <v>15.34</v>
      </c>
      <c r="AR473" s="57"/>
      <c r="AS473" s="871">
        <v>16</v>
      </c>
      <c r="AT473" s="871"/>
      <c r="AU473" s="863">
        <f t="shared" si="21"/>
        <v>750</v>
      </c>
      <c r="AV473" s="864"/>
      <c r="AW473" s="40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</row>
    <row r="474" spans="1:62" ht="15" customHeight="1">
      <c r="A474" s="136"/>
      <c r="B474" s="569"/>
      <c r="C474" s="526"/>
      <c r="D474" s="572"/>
      <c r="E474" s="909"/>
      <c r="F474" s="909"/>
      <c r="G474" s="910"/>
      <c r="H474" s="910"/>
      <c r="I474" s="910"/>
      <c r="J474" s="912"/>
      <c r="K474" s="912"/>
      <c r="L474" s="912"/>
      <c r="M474" s="906"/>
      <c r="N474" s="906"/>
      <c r="O474" s="907"/>
      <c r="P474" s="907"/>
      <c r="Q474" s="908"/>
      <c r="S474" s="264"/>
      <c r="T474" s="264"/>
      <c r="U474" s="264"/>
      <c r="V474" s="264"/>
      <c r="X474" s="264"/>
      <c r="Y474" s="264"/>
      <c r="Z474" s="264"/>
      <c r="AD474" s="41">
        <f t="shared" si="36"/>
        <v>16</v>
      </c>
      <c r="AE474" s="24" t="s">
        <v>35</v>
      </c>
      <c r="AF474" s="551">
        <f t="shared" si="17"/>
        <v>17</v>
      </c>
      <c r="AG474" s="865">
        <f t="shared" si="37"/>
        <v>1</v>
      </c>
      <c r="AH474" s="866"/>
      <c r="AI474" s="592">
        <f t="shared" si="19"/>
        <v>1050000</v>
      </c>
      <c r="AJ474" s="604">
        <f t="shared" si="28"/>
        <v>-7.2011695997960312E-2</v>
      </c>
      <c r="AK474" s="734">
        <f t="shared" si="29"/>
        <v>-0.92924640523320967</v>
      </c>
      <c r="AL474" s="1327">
        <f t="shared" si="20"/>
        <v>0</v>
      </c>
      <c r="AM474" s="1328"/>
      <c r="AN474" s="1329">
        <f t="shared" si="30"/>
        <v>0</v>
      </c>
      <c r="AO474" s="1330"/>
      <c r="AP474" s="553" t="str">
        <f t="shared" si="31"/>
        <v/>
      </c>
      <c r="AQ474" s="556">
        <f>SUM($AG$458:AH473)+(AG474/2)</f>
        <v>16.34</v>
      </c>
      <c r="AR474" s="57"/>
      <c r="AS474" s="871">
        <v>17</v>
      </c>
      <c r="AT474" s="871"/>
      <c r="AU474" s="863">
        <f t="shared" si="21"/>
        <v>750</v>
      </c>
      <c r="AV474" s="864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</row>
    <row r="475" spans="1:62" ht="15" customHeight="1">
      <c r="A475" s="136"/>
      <c r="B475" s="569"/>
      <c r="C475" s="526"/>
      <c r="D475" s="572"/>
      <c r="E475" s="909"/>
      <c r="F475" s="909"/>
      <c r="G475" s="910"/>
      <c r="H475" s="910"/>
      <c r="I475" s="910"/>
      <c r="J475" s="912"/>
      <c r="K475" s="912"/>
      <c r="L475" s="912"/>
      <c r="M475" s="906"/>
      <c r="N475" s="906"/>
      <c r="O475" s="907"/>
      <c r="P475" s="907"/>
      <c r="Q475" s="908"/>
      <c r="S475" s="264"/>
      <c r="T475" s="264"/>
      <c r="U475" s="264"/>
      <c r="V475" s="264"/>
      <c r="X475" s="264"/>
      <c r="Y475" s="264"/>
      <c r="Z475" s="264"/>
      <c r="AD475" s="41">
        <f t="shared" si="36"/>
        <v>17</v>
      </c>
      <c r="AE475" s="24" t="s">
        <v>35</v>
      </c>
      <c r="AF475" s="551">
        <f t="shared" si="17"/>
        <v>18</v>
      </c>
      <c r="AG475" s="865">
        <f t="shared" si="37"/>
        <v>1</v>
      </c>
      <c r="AH475" s="866"/>
      <c r="AI475" s="592">
        <f t="shared" si="19"/>
        <v>1050000</v>
      </c>
      <c r="AJ475" s="604">
        <f t="shared" si="28"/>
        <v>-0.13517985038213587</v>
      </c>
      <c r="AK475" s="734">
        <f t="shared" si="29"/>
        <v>-1.0353047821415264</v>
      </c>
      <c r="AL475" s="1327">
        <f t="shared" si="20"/>
        <v>0</v>
      </c>
      <c r="AM475" s="1328"/>
      <c r="AN475" s="1329">
        <f t="shared" si="30"/>
        <v>0</v>
      </c>
      <c r="AO475" s="1330"/>
      <c r="AP475" s="553" t="str">
        <f t="shared" si="31"/>
        <v/>
      </c>
      <c r="AQ475" s="556">
        <f>SUM($AG$458:AH474)+(AG475/2)</f>
        <v>17.34</v>
      </c>
      <c r="AR475" s="57"/>
      <c r="AS475" s="871">
        <v>18</v>
      </c>
      <c r="AT475" s="871"/>
      <c r="AU475" s="863">
        <f t="shared" si="21"/>
        <v>750</v>
      </c>
      <c r="AV475" s="864"/>
      <c r="AX475" s="20"/>
      <c r="AY475" s="20"/>
      <c r="AZ475" s="20"/>
      <c r="BA475" s="20"/>
      <c r="BB475" s="20"/>
      <c r="BC475" s="17"/>
      <c r="BD475" s="17"/>
      <c r="BE475" s="17"/>
      <c r="BF475" s="17"/>
      <c r="BG475" s="17"/>
      <c r="BH475" s="17"/>
      <c r="BI475" s="17"/>
      <c r="BJ475" s="17"/>
    </row>
    <row r="476" spans="1:62" ht="15" customHeight="1">
      <c r="A476" s="136"/>
      <c r="B476" s="569"/>
      <c r="C476" s="526"/>
      <c r="D476" s="572"/>
      <c r="E476" s="909"/>
      <c r="F476" s="909"/>
      <c r="G476" s="910"/>
      <c r="H476" s="910"/>
      <c r="I476" s="910"/>
      <c r="J476" s="912"/>
      <c r="K476" s="912"/>
      <c r="L476" s="912"/>
      <c r="M476" s="906"/>
      <c r="N476" s="906"/>
      <c r="O476" s="907"/>
      <c r="P476" s="907"/>
      <c r="Q476" s="908"/>
      <c r="S476" s="264"/>
      <c r="T476" s="264"/>
      <c r="U476" s="264"/>
      <c r="V476" s="264"/>
      <c r="X476" s="264"/>
      <c r="Y476" s="264"/>
      <c r="Z476" s="264"/>
      <c r="AD476" s="41">
        <f t="shared" si="36"/>
        <v>18</v>
      </c>
      <c r="AE476" s="24" t="s">
        <v>35</v>
      </c>
      <c r="AF476" s="551">
        <f t="shared" si="17"/>
        <v>19</v>
      </c>
      <c r="AG476" s="865">
        <f t="shared" si="37"/>
        <v>1</v>
      </c>
      <c r="AH476" s="866"/>
      <c r="AI476" s="592">
        <f t="shared" si="19"/>
        <v>1050000</v>
      </c>
      <c r="AJ476" s="604">
        <f t="shared" si="28"/>
        <v>-0.19834800476631143</v>
      </c>
      <c r="AK476" s="734">
        <f t="shared" si="29"/>
        <v>-1.1413631590498434</v>
      </c>
      <c r="AL476" s="1327">
        <f t="shared" si="20"/>
        <v>0</v>
      </c>
      <c r="AM476" s="1328"/>
      <c r="AN476" s="1329">
        <f t="shared" si="30"/>
        <v>0</v>
      </c>
      <c r="AO476" s="1330"/>
      <c r="AP476" s="553" t="str">
        <f t="shared" si="31"/>
        <v/>
      </c>
      <c r="AQ476" s="556">
        <f>SUM($AG$458:AH475)+(AG476/2)</f>
        <v>18.34</v>
      </c>
      <c r="AR476" s="57"/>
      <c r="AS476" s="871">
        <v>19</v>
      </c>
      <c r="AT476" s="871"/>
      <c r="AU476" s="863">
        <f t="shared" si="21"/>
        <v>750</v>
      </c>
      <c r="AV476" s="864"/>
      <c r="AX476" s="20"/>
      <c r="AY476" s="20"/>
      <c r="AZ476" s="20"/>
      <c r="BA476" s="20"/>
      <c r="BB476" s="20"/>
      <c r="BC476" s="21"/>
      <c r="BD476" s="21"/>
      <c r="BE476" s="21"/>
      <c r="BF476" s="21"/>
      <c r="BG476" s="21"/>
      <c r="BH476" s="20"/>
      <c r="BI476" s="20"/>
      <c r="BJ476" s="20"/>
    </row>
    <row r="477" spans="1:62" ht="15" customHeight="1">
      <c r="A477" s="136"/>
      <c r="B477" s="569"/>
      <c r="C477" s="526"/>
      <c r="D477" s="572"/>
      <c r="E477" s="909"/>
      <c r="F477" s="909"/>
      <c r="G477" s="910"/>
      <c r="H477" s="910"/>
      <c r="I477" s="910"/>
      <c r="J477" s="912"/>
      <c r="K477" s="912"/>
      <c r="L477" s="912"/>
      <c r="M477" s="906"/>
      <c r="N477" s="906"/>
      <c r="O477" s="907"/>
      <c r="P477" s="907"/>
      <c r="Q477" s="908"/>
      <c r="S477" s="264"/>
      <c r="T477" s="264"/>
      <c r="U477" s="264"/>
      <c r="V477" s="264"/>
      <c r="X477" s="264"/>
      <c r="Y477" s="264"/>
      <c r="Z477" s="264"/>
      <c r="AD477" s="41">
        <f t="shared" si="36"/>
        <v>19</v>
      </c>
      <c r="AE477" s="24" t="s">
        <v>35</v>
      </c>
      <c r="AF477" s="551">
        <f t="shared" si="17"/>
        <v>20</v>
      </c>
      <c r="AG477" s="865">
        <f t="shared" si="37"/>
        <v>1</v>
      </c>
      <c r="AH477" s="866"/>
      <c r="AI477" s="592">
        <f t="shared" si="19"/>
        <v>1050000</v>
      </c>
      <c r="AJ477" s="604">
        <f t="shared" si="28"/>
        <v>-0.26151615915048698</v>
      </c>
      <c r="AK477" s="734">
        <f t="shared" si="29"/>
        <v>-1.24742153595816</v>
      </c>
      <c r="AL477" s="1327">
        <f t="shared" si="20"/>
        <v>0</v>
      </c>
      <c r="AM477" s="1328"/>
      <c r="AN477" s="1329">
        <f t="shared" si="30"/>
        <v>0</v>
      </c>
      <c r="AO477" s="1330"/>
      <c r="AP477" s="553" t="str">
        <f t="shared" si="31"/>
        <v/>
      </c>
      <c r="AQ477" s="556">
        <f>SUM($AG$458:AH476)+(AG477/2)</f>
        <v>19.34</v>
      </c>
      <c r="AR477" s="57"/>
      <c r="AS477" s="871">
        <v>20</v>
      </c>
      <c r="AT477" s="871"/>
      <c r="AU477" s="863">
        <f t="shared" si="21"/>
        <v>750</v>
      </c>
      <c r="AV477" s="864"/>
      <c r="AX477" s="1153"/>
      <c r="AY477" s="1153"/>
      <c r="AZ477" s="1153"/>
      <c r="BA477" s="1153"/>
      <c r="BB477" s="1153"/>
      <c r="BC477" s="1063"/>
      <c r="BD477" s="1063"/>
      <c r="BE477" s="1063"/>
      <c r="BF477" s="1063"/>
      <c r="BG477" s="1063"/>
      <c r="BH477" s="1191"/>
      <c r="BI477" s="1191"/>
      <c r="BJ477" s="1191"/>
    </row>
    <row r="478" spans="1:62" ht="15" customHeight="1">
      <c r="A478" s="136"/>
      <c r="B478" s="569"/>
      <c r="C478" s="526"/>
      <c r="D478" s="572"/>
      <c r="E478" s="909"/>
      <c r="F478" s="909"/>
      <c r="G478" s="910"/>
      <c r="H478" s="910"/>
      <c r="I478" s="910"/>
      <c r="J478" s="912"/>
      <c r="K478" s="912"/>
      <c r="L478" s="912"/>
      <c r="M478" s="906"/>
      <c r="N478" s="906"/>
      <c r="O478" s="907"/>
      <c r="P478" s="907"/>
      <c r="Q478" s="908"/>
      <c r="S478" s="264"/>
      <c r="T478" s="264"/>
      <c r="U478" s="264"/>
      <c r="V478" s="264"/>
      <c r="X478" s="264"/>
      <c r="Y478" s="264"/>
      <c r="Z478" s="264"/>
      <c r="AD478" s="41">
        <f t="shared" si="36"/>
        <v>20</v>
      </c>
      <c r="AE478" s="24" t="s">
        <v>35</v>
      </c>
      <c r="AF478" s="551">
        <f t="shared" si="17"/>
        <v>21</v>
      </c>
      <c r="AG478" s="865">
        <f t="shared" si="37"/>
        <v>1</v>
      </c>
      <c r="AH478" s="866"/>
      <c r="AI478" s="592">
        <f t="shared" si="19"/>
        <v>1050000</v>
      </c>
      <c r="AJ478" s="604">
        <f t="shared" si="28"/>
        <v>-0.32468431353466276</v>
      </c>
      <c r="AK478" s="734">
        <f t="shared" si="29"/>
        <v>-1.353479912866477</v>
      </c>
      <c r="AL478" s="1327">
        <f t="shared" si="20"/>
        <v>0</v>
      </c>
      <c r="AM478" s="1328"/>
      <c r="AN478" s="1329">
        <f t="shared" si="30"/>
        <v>0</v>
      </c>
      <c r="AO478" s="1330"/>
      <c r="AP478" s="553" t="str">
        <f t="shared" si="31"/>
        <v/>
      </c>
      <c r="AQ478" s="556">
        <f>SUM($AG$458:AH477)+(AG478/2)</f>
        <v>20.34</v>
      </c>
      <c r="AR478" s="57"/>
      <c r="AS478" s="871">
        <v>21</v>
      </c>
      <c r="AT478" s="871"/>
      <c r="AU478" s="863">
        <f t="shared" si="21"/>
        <v>750</v>
      </c>
      <c r="AV478" s="864"/>
      <c r="AX478" s="1153"/>
      <c r="AY478" s="1153"/>
      <c r="AZ478" s="1153"/>
      <c r="BA478" s="1153"/>
      <c r="BB478" s="1153"/>
      <c r="BC478" s="1203"/>
      <c r="BD478" s="1203"/>
      <c r="BE478" s="1203"/>
      <c r="BF478" s="1203"/>
      <c r="BG478" s="1203"/>
      <c r="BH478" s="1063"/>
      <c r="BI478" s="1063"/>
      <c r="BJ478" s="1063"/>
    </row>
    <row r="479" spans="1:62" ht="15" customHeight="1">
      <c r="A479" s="136"/>
      <c r="B479" s="569"/>
      <c r="C479" s="526"/>
      <c r="D479" s="572"/>
      <c r="E479" s="909"/>
      <c r="F479" s="909"/>
      <c r="G479" s="910"/>
      <c r="H479" s="910"/>
      <c r="I479" s="910"/>
      <c r="J479" s="912"/>
      <c r="K479" s="912"/>
      <c r="L479" s="912"/>
      <c r="M479" s="906"/>
      <c r="N479" s="906"/>
      <c r="O479" s="907"/>
      <c r="P479" s="907"/>
      <c r="Q479" s="908"/>
      <c r="S479" s="264"/>
      <c r="T479" s="264"/>
      <c r="U479" s="264"/>
      <c r="V479" s="264"/>
      <c r="X479" s="264"/>
      <c r="Y479" s="264"/>
      <c r="Z479" s="264"/>
      <c r="AD479" s="41">
        <f t="shared" si="36"/>
        <v>21</v>
      </c>
      <c r="AE479" s="24" t="s">
        <v>35</v>
      </c>
      <c r="AF479" s="551">
        <f t="shared" si="17"/>
        <v>22</v>
      </c>
      <c r="AG479" s="865">
        <f t="shared" si="37"/>
        <v>1</v>
      </c>
      <c r="AH479" s="866"/>
      <c r="AI479" s="592">
        <f t="shared" si="19"/>
        <v>1050000</v>
      </c>
      <c r="AJ479" s="604">
        <f t="shared" si="28"/>
        <v>-0.38785246791883832</v>
      </c>
      <c r="AK479" s="734">
        <f t="shared" si="29"/>
        <v>-1.4595382897747939</v>
      </c>
      <c r="AL479" s="1327">
        <f t="shared" si="20"/>
        <v>0</v>
      </c>
      <c r="AM479" s="1328"/>
      <c r="AN479" s="1329">
        <f t="shared" si="30"/>
        <v>0</v>
      </c>
      <c r="AO479" s="1330"/>
      <c r="AP479" s="553" t="str">
        <f t="shared" si="31"/>
        <v/>
      </c>
      <c r="AQ479" s="556">
        <f>SUM($AG$458:AH478)+(AG479/2)</f>
        <v>21.34</v>
      </c>
      <c r="AR479" s="57"/>
      <c r="AS479" s="871">
        <v>22</v>
      </c>
      <c r="AT479" s="871"/>
      <c r="AU479" s="863">
        <f t="shared" si="21"/>
        <v>750</v>
      </c>
      <c r="AV479" s="864"/>
      <c r="AX479" s="1153"/>
      <c r="AY479" s="1153"/>
      <c r="AZ479" s="1153"/>
      <c r="BA479" s="1153"/>
      <c r="BB479" s="1153"/>
      <c r="BC479" s="1063"/>
      <c r="BD479" s="1063"/>
      <c r="BE479" s="1063"/>
      <c r="BF479" s="1063"/>
      <c r="BG479" s="1063"/>
      <c r="BH479" s="1063"/>
      <c r="BI479" s="1063"/>
      <c r="BJ479" s="1063"/>
    </row>
    <row r="480" spans="1:62" ht="15" customHeight="1">
      <c r="A480" s="136"/>
      <c r="B480" s="569"/>
      <c r="C480" s="526"/>
      <c r="D480" s="572"/>
      <c r="E480" s="909"/>
      <c r="F480" s="909"/>
      <c r="G480" s="910"/>
      <c r="H480" s="910"/>
      <c r="I480" s="910"/>
      <c r="J480" s="912"/>
      <c r="K480" s="912"/>
      <c r="L480" s="912"/>
      <c r="M480" s="906"/>
      <c r="N480" s="906"/>
      <c r="O480" s="907"/>
      <c r="P480" s="907"/>
      <c r="Q480" s="908"/>
      <c r="S480" s="264"/>
      <c r="T480" s="264"/>
      <c r="U480" s="264"/>
      <c r="V480" s="264"/>
      <c r="X480" s="264"/>
      <c r="Y480" s="264"/>
      <c r="Z480" s="264"/>
      <c r="AD480" s="41">
        <f t="shared" si="36"/>
        <v>22</v>
      </c>
      <c r="AE480" s="24" t="s">
        <v>35</v>
      </c>
      <c r="AF480" s="551">
        <f t="shared" si="17"/>
        <v>23</v>
      </c>
      <c r="AG480" s="865">
        <f t="shared" si="37"/>
        <v>1</v>
      </c>
      <c r="AH480" s="866"/>
      <c r="AI480" s="592">
        <f t="shared" si="19"/>
        <v>1050000</v>
      </c>
      <c r="AJ480" s="604">
        <f t="shared" si="28"/>
        <v>-0.45102062230301387</v>
      </c>
      <c r="AK480" s="734">
        <f t="shared" si="29"/>
        <v>-1.5655966666831105</v>
      </c>
      <c r="AL480" s="1327">
        <f t="shared" si="20"/>
        <v>0</v>
      </c>
      <c r="AM480" s="1328"/>
      <c r="AN480" s="1329">
        <f t="shared" si="30"/>
        <v>0</v>
      </c>
      <c r="AO480" s="1330"/>
      <c r="AP480" s="553" t="str">
        <f t="shared" si="31"/>
        <v/>
      </c>
      <c r="AQ480" s="556">
        <f>SUM($AG$458:AH479)+(AG480/2)</f>
        <v>22.34</v>
      </c>
      <c r="AR480" s="57"/>
      <c r="AS480" s="871">
        <v>23</v>
      </c>
      <c r="AT480" s="871"/>
      <c r="AU480" s="863">
        <f t="shared" si="21"/>
        <v>750</v>
      </c>
      <c r="AV480" s="864"/>
      <c r="AX480" s="1153"/>
      <c r="AY480" s="1153"/>
      <c r="AZ480" s="1153"/>
      <c r="BA480" s="1153"/>
      <c r="BB480" s="1153"/>
      <c r="BC480" s="1191"/>
      <c r="BD480" s="1191"/>
      <c r="BE480" s="1191"/>
      <c r="BF480" s="1191"/>
      <c r="BG480" s="1191"/>
      <c r="BH480" s="1063"/>
      <c r="BI480" s="1063"/>
      <c r="BJ480" s="1063"/>
    </row>
    <row r="481" spans="1:62" ht="15" customHeight="1">
      <c r="A481" s="136"/>
      <c r="B481" s="569"/>
      <c r="C481" s="526"/>
      <c r="D481" s="572"/>
      <c r="E481" s="909"/>
      <c r="F481" s="909"/>
      <c r="G481" s="910"/>
      <c r="H481" s="910"/>
      <c r="I481" s="910"/>
      <c r="J481" s="912"/>
      <c r="K481" s="912"/>
      <c r="L481" s="912"/>
      <c r="M481" s="906"/>
      <c r="N481" s="906"/>
      <c r="O481" s="907"/>
      <c r="P481" s="907"/>
      <c r="Q481" s="908"/>
      <c r="S481" s="264"/>
      <c r="T481" s="264"/>
      <c r="U481" s="264"/>
      <c r="V481" s="264"/>
      <c r="X481" s="264"/>
      <c r="Y481" s="264"/>
      <c r="Z481" s="264"/>
      <c r="AD481" s="41">
        <f t="shared" si="36"/>
        <v>23</v>
      </c>
      <c r="AE481" s="24" t="s">
        <v>35</v>
      </c>
      <c r="AF481" s="551">
        <f t="shared" si="17"/>
        <v>24</v>
      </c>
      <c r="AG481" s="865">
        <f t="shared" si="37"/>
        <v>1</v>
      </c>
      <c r="AH481" s="866"/>
      <c r="AI481" s="592">
        <f t="shared" si="19"/>
        <v>1050000</v>
      </c>
      <c r="AJ481" s="604">
        <f t="shared" si="28"/>
        <v>-0.51418877668718943</v>
      </c>
      <c r="AK481" s="734">
        <f t="shared" si="29"/>
        <v>-1.6716550435914275</v>
      </c>
      <c r="AL481" s="1327">
        <f t="shared" si="20"/>
        <v>0</v>
      </c>
      <c r="AM481" s="1328"/>
      <c r="AN481" s="1329">
        <f t="shared" si="30"/>
        <v>0</v>
      </c>
      <c r="AO481" s="1330"/>
      <c r="AP481" s="553" t="str">
        <f t="shared" si="31"/>
        <v/>
      </c>
      <c r="AQ481" s="556">
        <f>SUM($AG$458:AH480)+(AG481/2)</f>
        <v>23.34</v>
      </c>
      <c r="AR481" s="57"/>
      <c r="AS481" s="871">
        <v>24</v>
      </c>
      <c r="AT481" s="871"/>
      <c r="AU481" s="863">
        <f t="shared" si="21"/>
        <v>750</v>
      </c>
      <c r="AV481" s="864"/>
      <c r="AX481" s="1153"/>
      <c r="AY481" s="1153"/>
      <c r="AZ481" s="1153"/>
      <c r="BA481" s="1153"/>
      <c r="BB481" s="1153"/>
      <c r="BC481" s="1063"/>
      <c r="BD481" s="1063"/>
      <c r="BE481" s="1063"/>
      <c r="BF481" s="1063"/>
      <c r="BG481" s="1063"/>
      <c r="BH481" s="1063"/>
      <c r="BI481" s="1063"/>
      <c r="BJ481" s="1063"/>
    </row>
    <row r="482" spans="1:62" ht="15" customHeight="1" thickBot="1">
      <c r="A482" s="136"/>
      <c r="B482" s="569"/>
      <c r="C482" s="526"/>
      <c r="D482" s="574"/>
      <c r="E482" s="909"/>
      <c r="F482" s="909"/>
      <c r="G482" s="910"/>
      <c r="H482" s="910"/>
      <c r="I482" s="910"/>
      <c r="J482" s="912"/>
      <c r="K482" s="912"/>
      <c r="L482" s="912"/>
      <c r="M482" s="906"/>
      <c r="N482" s="906"/>
      <c r="O482" s="907"/>
      <c r="P482" s="907"/>
      <c r="Q482" s="908"/>
      <c r="S482" s="269"/>
      <c r="T482" s="269"/>
      <c r="U482" s="269"/>
      <c r="V482" s="269"/>
      <c r="X482" s="269"/>
      <c r="Y482" s="269"/>
      <c r="Z482" s="269"/>
      <c r="AD482" s="41">
        <f t="shared" si="36"/>
        <v>24</v>
      </c>
      <c r="AE482" s="24" t="s">
        <v>35</v>
      </c>
      <c r="AF482" s="551">
        <f t="shared" si="17"/>
        <v>25</v>
      </c>
      <c r="AG482" s="865">
        <f t="shared" si="37"/>
        <v>1</v>
      </c>
      <c r="AH482" s="866"/>
      <c r="AI482" s="592">
        <f t="shared" si="19"/>
        <v>1050000</v>
      </c>
      <c r="AJ482" s="604">
        <f t="shared" si="28"/>
        <v>-0.57735693107136521</v>
      </c>
      <c r="AK482" s="734">
        <f t="shared" si="29"/>
        <v>-1.7777134204997445</v>
      </c>
      <c r="AL482" s="1327">
        <f t="shared" si="20"/>
        <v>0</v>
      </c>
      <c r="AM482" s="1328"/>
      <c r="AN482" s="1329">
        <f t="shared" si="30"/>
        <v>0</v>
      </c>
      <c r="AO482" s="1330"/>
      <c r="AP482" s="553" t="str">
        <f t="shared" si="31"/>
        <v/>
      </c>
      <c r="AQ482" s="556">
        <f>SUM($AG$458:AH481)+(AG482/2)</f>
        <v>24.34</v>
      </c>
      <c r="AR482" s="57"/>
      <c r="AS482" s="871">
        <v>25</v>
      </c>
      <c r="AT482" s="871"/>
      <c r="AU482" s="863">
        <f t="shared" si="21"/>
        <v>750</v>
      </c>
      <c r="AV482" s="864"/>
      <c r="AX482" s="1153"/>
      <c r="AY482" s="1153"/>
      <c r="AZ482" s="1153"/>
      <c r="BA482" s="1153"/>
      <c r="BB482" s="1153"/>
      <c r="BC482" s="1063"/>
      <c r="BD482" s="1063"/>
      <c r="BE482" s="1063"/>
      <c r="BF482" s="1063"/>
      <c r="BG482" s="1063"/>
      <c r="BH482" s="1063"/>
      <c r="BI482" s="1063"/>
      <c r="BJ482" s="1063"/>
    </row>
    <row r="483" spans="1:62" ht="15" customHeight="1" thickTop="1" thickBot="1">
      <c r="A483" s="136"/>
      <c r="B483" s="270"/>
      <c r="C483" s="271"/>
      <c r="D483" s="272"/>
      <c r="E483" s="1388"/>
      <c r="F483" s="1388"/>
      <c r="G483" s="1370"/>
      <c r="H483" s="1370"/>
      <c r="I483" s="1370"/>
      <c r="J483" s="1371"/>
      <c r="K483" s="1371"/>
      <c r="L483" s="1371"/>
      <c r="M483" s="1372" t="s">
        <v>301</v>
      </c>
      <c r="N483" s="1372"/>
      <c r="O483" s="1373">
        <f>SUM(O458:Q482)</f>
        <v>2.2370000000000002E-4</v>
      </c>
      <c r="P483" s="1373">
        <f>SUM(P458:V482)</f>
        <v>0</v>
      </c>
      <c r="Q483" s="1374"/>
      <c r="S483" s="273"/>
      <c r="T483" s="273"/>
      <c r="U483" s="273"/>
      <c r="V483" s="273"/>
      <c r="X483" s="273"/>
      <c r="Y483" s="273"/>
      <c r="Z483" s="273"/>
      <c r="AD483" s="41">
        <f t="shared" si="36"/>
        <v>25</v>
      </c>
      <c r="AE483" s="24" t="s">
        <v>35</v>
      </c>
      <c r="AF483" s="551">
        <f t="shared" si="17"/>
        <v>26</v>
      </c>
      <c r="AG483" s="865">
        <f t="shared" si="37"/>
        <v>1</v>
      </c>
      <c r="AH483" s="866"/>
      <c r="AI483" s="592">
        <f t="shared" si="19"/>
        <v>1050000</v>
      </c>
      <c r="AJ483" s="604">
        <f t="shared" si="28"/>
        <v>-0.64052508545554077</v>
      </c>
      <c r="AK483" s="734">
        <f t="shared" si="29"/>
        <v>-1.883771797408061</v>
      </c>
      <c r="AL483" s="1327">
        <f t="shared" ref="AL483" si="38">IF(AK483&lt;0,0,IF(AI483=0,0,+AK483*AG483/AI483))</f>
        <v>0</v>
      </c>
      <c r="AM483" s="1328"/>
      <c r="AN483" s="1329">
        <f t="shared" si="30"/>
        <v>0</v>
      </c>
      <c r="AO483" s="1330"/>
      <c r="AP483" s="553" t="str">
        <f t="shared" si="31"/>
        <v/>
      </c>
      <c r="AQ483" s="556">
        <f>SUM($AG$458:AH482)+(AG483/2)</f>
        <v>25.34</v>
      </c>
      <c r="AR483" s="57"/>
      <c r="AS483" s="871">
        <v>26</v>
      </c>
      <c r="AT483" s="871"/>
      <c r="AU483" s="863">
        <f t="shared" si="21"/>
        <v>750</v>
      </c>
      <c r="AV483" s="864"/>
      <c r="AX483" s="1153"/>
      <c r="AY483" s="1153"/>
      <c r="AZ483" s="1153"/>
      <c r="BA483" s="1153"/>
      <c r="BB483" s="1153"/>
      <c r="BC483" s="1203"/>
      <c r="BD483" s="1203"/>
      <c r="BE483" s="1203"/>
      <c r="BF483" s="1203"/>
      <c r="BG483" s="1203"/>
      <c r="BH483" s="1063"/>
      <c r="BI483" s="1063"/>
      <c r="BJ483" s="1063"/>
    </row>
    <row r="484" spans="1:62" ht="15" customHeight="1" thickTop="1">
      <c r="A484" s="136"/>
      <c r="B484" s="159"/>
      <c r="C484" s="159"/>
      <c r="D484" s="159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258"/>
      <c r="R484" s="258"/>
      <c r="S484" s="258"/>
      <c r="T484" s="258"/>
      <c r="U484" s="258"/>
      <c r="V484" s="258"/>
      <c r="W484" s="258"/>
      <c r="X484" s="252"/>
      <c r="Y484" s="252"/>
      <c r="AD484" s="64"/>
      <c r="AE484" s="65"/>
      <c r="AF484" s="551">
        <f t="shared" si="17"/>
        <v>27</v>
      </c>
      <c r="AG484" s="865"/>
      <c r="AH484" s="866"/>
      <c r="AI484" s="592">
        <f t="shared" si="19"/>
        <v>1050000</v>
      </c>
      <c r="AJ484" s="565"/>
      <c r="AK484" s="555"/>
      <c r="AL484" s="1380"/>
      <c r="AM484" s="1381"/>
      <c r="AN484" s="1382"/>
      <c r="AO484" s="1383"/>
      <c r="AP484" s="553" t="str">
        <f t="shared" si="31"/>
        <v>N</v>
      </c>
      <c r="AQ484" s="556">
        <f>SUM($AG$458:AH483)+(AG484/2)</f>
        <v>25.84</v>
      </c>
      <c r="AR484" s="57"/>
      <c r="AS484" s="871">
        <v>27</v>
      </c>
      <c r="AT484" s="871"/>
      <c r="AU484" s="863">
        <f t="shared" si="21"/>
        <v>750</v>
      </c>
      <c r="AV484" s="864"/>
      <c r="AX484" s="1153"/>
      <c r="AY484" s="1153"/>
      <c r="AZ484" s="1153"/>
      <c r="BA484" s="1153"/>
      <c r="BB484" s="1153"/>
      <c r="BC484" s="1191"/>
      <c r="BD484" s="1191"/>
      <c r="BE484" s="1191"/>
      <c r="BF484" s="1191"/>
      <c r="BG484" s="1191"/>
      <c r="BH484" s="1063"/>
      <c r="BI484" s="1063"/>
      <c r="BJ484" s="1063"/>
    </row>
    <row r="485" spans="1:62" ht="15" customHeight="1">
      <c r="A485" s="136"/>
      <c r="B485" s="136"/>
      <c r="C485" s="85" t="s">
        <v>313</v>
      </c>
      <c r="D485" s="85"/>
      <c r="E485" s="135"/>
      <c r="F485" s="135"/>
      <c r="G485" s="135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85"/>
      <c r="AA485" s="85"/>
      <c r="AG485" s="68"/>
      <c r="AH485" s="68"/>
      <c r="AI485" s="69"/>
      <c r="AJ485" s="70"/>
      <c r="AK485" s="71" t="s">
        <v>97</v>
      </c>
      <c r="AL485" s="1378">
        <f>SUM(AL458:AM483)</f>
        <v>2.2365037845809336E-4</v>
      </c>
      <c r="AM485" s="1379"/>
      <c r="AN485" s="1378">
        <f>SUM(AN458:AO483)</f>
        <v>3.1120000000000003E-4</v>
      </c>
      <c r="AO485" s="1379"/>
      <c r="AX485" s="1153"/>
      <c r="AY485" s="1153"/>
      <c r="AZ485" s="1153"/>
      <c r="BA485" s="1153"/>
      <c r="BB485" s="1153"/>
      <c r="BC485" s="1191"/>
      <c r="BD485" s="1191"/>
      <c r="BE485" s="1191"/>
      <c r="BF485" s="1191"/>
      <c r="BG485" s="1191"/>
      <c r="BH485" s="1063"/>
      <c r="BI485" s="1063"/>
      <c r="BJ485" s="1063"/>
    </row>
    <row r="486" spans="1:62" ht="15" customHeight="1">
      <c r="A486" s="136"/>
      <c r="B486" s="136"/>
      <c r="C486" s="125" t="s">
        <v>315</v>
      </c>
      <c r="D486" s="125" t="s">
        <v>316</v>
      </c>
      <c r="E486" s="1067" t="s">
        <v>317</v>
      </c>
      <c r="F486" s="1067"/>
      <c r="G486" s="296" t="s">
        <v>249</v>
      </c>
      <c r="H486" s="1067" t="s">
        <v>318</v>
      </c>
      <c r="I486" s="1067"/>
      <c r="J486" s="296" t="s">
        <v>249</v>
      </c>
      <c r="K486" s="1067" t="s">
        <v>319</v>
      </c>
      <c r="L486" s="1067"/>
      <c r="M486" s="296" t="s">
        <v>249</v>
      </c>
      <c r="N486" s="296" t="s">
        <v>320</v>
      </c>
      <c r="O486" s="296" t="s">
        <v>249</v>
      </c>
      <c r="P486" s="296" t="s">
        <v>321</v>
      </c>
      <c r="Q486" s="297" t="s">
        <v>322</v>
      </c>
      <c r="R486" s="296" t="s">
        <v>323</v>
      </c>
      <c r="S486" s="296" t="s">
        <v>324</v>
      </c>
      <c r="T486" s="296" t="s">
        <v>249</v>
      </c>
      <c r="U486" s="1067" t="s">
        <v>325</v>
      </c>
      <c r="V486" s="1067"/>
      <c r="W486" s="125"/>
      <c r="X486" s="125"/>
      <c r="Y486" s="125"/>
      <c r="Z486" s="125"/>
      <c r="AA486" s="125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X486" s="1153"/>
      <c r="AY486" s="1153"/>
      <c r="AZ486" s="1153"/>
      <c r="BA486" s="1153"/>
      <c r="BB486" s="1153"/>
      <c r="BC486" s="1191"/>
      <c r="BD486" s="1191"/>
      <c r="BE486" s="1191"/>
      <c r="BF486" s="1191"/>
      <c r="BG486" s="1191"/>
      <c r="BH486" s="1191"/>
      <c r="BI486" s="1191"/>
      <c r="BJ486" s="1191"/>
    </row>
    <row r="487" spans="1:62" ht="15" customHeight="1">
      <c r="A487" s="136"/>
      <c r="B487" s="136"/>
      <c r="C487" s="1376" t="s">
        <v>315</v>
      </c>
      <c r="D487" s="1377" t="s">
        <v>327</v>
      </c>
      <c r="E487" s="1375">
        <f>+T452</f>
        <v>0.9902120717781403</v>
      </c>
      <c r="F487" s="1375"/>
      <c r="G487" s="1067" t="s">
        <v>249</v>
      </c>
      <c r="H487" s="1375">
        <f>+U493</f>
        <v>1.4352182518111363</v>
      </c>
      <c r="I487" s="1375"/>
      <c r="J487" s="1067" t="s">
        <v>249</v>
      </c>
      <c r="K487" s="1428">
        <f>+M452-Q452</f>
        <v>147.12</v>
      </c>
      <c r="L487" s="1428"/>
      <c r="M487" s="1067" t="s">
        <v>249</v>
      </c>
      <c r="N487" s="1369">
        <f>O483</f>
        <v>2.2370000000000002E-4</v>
      </c>
      <c r="O487" s="1369"/>
      <c r="P487" s="1369"/>
      <c r="Q487" s="1369"/>
      <c r="R487" s="1503">
        <v>1000</v>
      </c>
      <c r="S487" s="1503"/>
      <c r="T487" s="1376" t="s">
        <v>316</v>
      </c>
      <c r="U487" s="1385">
        <f>ROUND((E487*H487*N487*K487)*R487,2)</f>
        <v>46.77</v>
      </c>
      <c r="V487" s="1385"/>
      <c r="W487" s="1385"/>
      <c r="X487" s="1386" t="s">
        <v>329</v>
      </c>
      <c r="Y487" s="1386"/>
      <c r="AD487" s="11"/>
      <c r="AE487" s="12"/>
      <c r="AF487" s="13"/>
      <c r="AS487" s="14"/>
      <c r="AT487" s="13"/>
      <c r="AU487" s="13"/>
      <c r="AV487" s="13"/>
      <c r="AX487" s="1153"/>
      <c r="AY487" s="1153"/>
      <c r="AZ487" s="1153"/>
      <c r="BA487" s="1153"/>
      <c r="BB487" s="1153"/>
      <c r="BC487" s="1191"/>
      <c r="BD487" s="1191"/>
      <c r="BE487" s="1191"/>
      <c r="BF487" s="1191"/>
      <c r="BG487" s="1191"/>
      <c r="BH487" s="1063"/>
      <c r="BI487" s="1063"/>
      <c r="BJ487" s="1063"/>
    </row>
    <row r="488" spans="1:62" ht="15" customHeight="1">
      <c r="A488" s="136"/>
      <c r="B488" s="136"/>
      <c r="C488" s="1376"/>
      <c r="D488" s="1376"/>
      <c r="E488" s="1375"/>
      <c r="F488" s="1375"/>
      <c r="G488" s="1067" t="s">
        <v>249</v>
      </c>
      <c r="H488" s="1375"/>
      <c r="I488" s="1375"/>
      <c r="J488" s="1067" t="s">
        <v>249</v>
      </c>
      <c r="K488" s="1428"/>
      <c r="L488" s="1428"/>
      <c r="M488" s="1067" t="s">
        <v>249</v>
      </c>
      <c r="N488" s="1369"/>
      <c r="O488" s="1369"/>
      <c r="P488" s="1369"/>
      <c r="Q488" s="1369"/>
      <c r="R488" s="1503"/>
      <c r="S488" s="1503"/>
      <c r="T488" s="1376"/>
      <c r="U488" s="1385"/>
      <c r="V488" s="1385"/>
      <c r="W488" s="1385"/>
      <c r="X488" s="1386"/>
      <c r="Y488" s="1386"/>
      <c r="AX488" s="1153"/>
      <c r="AY488" s="1153"/>
      <c r="AZ488" s="1153"/>
      <c r="BA488" s="1153"/>
      <c r="BB488" s="1153"/>
      <c r="BC488" s="1191"/>
      <c r="BD488" s="1191"/>
      <c r="BE488" s="1191"/>
      <c r="BF488" s="1191"/>
      <c r="BG488" s="1191"/>
      <c r="BH488" s="1191"/>
      <c r="BI488" s="1191"/>
      <c r="BJ488" s="1191"/>
    </row>
    <row r="489" spans="1:62" ht="15" customHeight="1">
      <c r="A489" s="136"/>
      <c r="B489" s="136"/>
      <c r="C489" s="130"/>
      <c r="D489" s="1376" t="s">
        <v>317</v>
      </c>
      <c r="E489" s="1377" t="s">
        <v>316</v>
      </c>
      <c r="F489" s="1067">
        <v>1</v>
      </c>
      <c r="G489" s="1067"/>
      <c r="H489" s="1067" t="s">
        <v>330</v>
      </c>
      <c r="I489" s="1428">
        <v>0.5</v>
      </c>
      <c r="J489" s="1428"/>
      <c r="K489" s="1067" t="s">
        <v>331</v>
      </c>
      <c r="L489" s="1387" t="s">
        <v>332</v>
      </c>
      <c r="M489" s="1387"/>
      <c r="N489" s="1387"/>
      <c r="O489" s="1387"/>
      <c r="P489" s="1387"/>
      <c r="Q489" s="1067" t="s">
        <v>324</v>
      </c>
      <c r="R489" s="296"/>
      <c r="S489" s="296" t="s">
        <v>333</v>
      </c>
      <c r="T489" s="296" t="s">
        <v>316</v>
      </c>
      <c r="U489" s="1067">
        <f>+Q452</f>
        <v>2.88</v>
      </c>
      <c r="V489" s="1067"/>
      <c r="W489" s="1067"/>
      <c r="X489" s="303" t="s">
        <v>334</v>
      </c>
      <c r="Y489" s="303"/>
      <c r="Z489" s="125"/>
      <c r="AA489" s="125"/>
    </row>
    <row r="490" spans="1:62" ht="15" customHeight="1">
      <c r="A490" s="136"/>
      <c r="B490" s="136"/>
      <c r="C490" s="130"/>
      <c r="D490" s="1376"/>
      <c r="E490" s="1377"/>
      <c r="F490" s="1067"/>
      <c r="G490" s="1067"/>
      <c r="H490" s="1067"/>
      <c r="I490" s="1428"/>
      <c r="J490" s="1428"/>
      <c r="K490" s="1067"/>
      <c r="L490" s="1391" t="s">
        <v>335</v>
      </c>
      <c r="M490" s="1391"/>
      <c r="N490" s="296" t="s">
        <v>330</v>
      </c>
      <c r="O490" s="1391" t="s">
        <v>333</v>
      </c>
      <c r="P490" s="1391"/>
      <c r="Q490" s="1067"/>
      <c r="R490" s="296"/>
      <c r="S490" s="296" t="s">
        <v>335</v>
      </c>
      <c r="T490" s="296" t="s">
        <v>316</v>
      </c>
      <c r="U490" s="1067">
        <f>+M452</f>
        <v>150</v>
      </c>
      <c r="V490" s="1067"/>
      <c r="W490" s="1067"/>
      <c r="X490" s="303" t="s">
        <v>334</v>
      </c>
      <c r="Y490" s="303"/>
      <c r="Z490" s="125"/>
      <c r="AA490" s="125"/>
      <c r="AC490" s="452"/>
      <c r="AD490" s="452" t="s">
        <v>304</v>
      </c>
      <c r="AE490" s="452" t="s">
        <v>305</v>
      </c>
      <c r="AF490" s="452"/>
      <c r="AG490" s="452"/>
      <c r="AH490" s="452"/>
      <c r="AI490" s="452"/>
      <c r="AT490" s="274"/>
      <c r="AX490" s="3"/>
      <c r="AY490" s="3"/>
      <c r="AZ490" s="5"/>
      <c r="BA490" s="5"/>
    </row>
    <row r="491" spans="1:62" ht="15" customHeight="1">
      <c r="A491" s="136"/>
      <c r="B491" s="136"/>
      <c r="C491" s="130"/>
      <c r="D491" s="125"/>
      <c r="E491" s="1376"/>
      <c r="F491" s="1067">
        <v>1</v>
      </c>
      <c r="G491" s="1067"/>
      <c r="H491" s="1066" t="s">
        <v>330</v>
      </c>
      <c r="I491" s="1067">
        <v>0.5</v>
      </c>
      <c r="J491" s="1067"/>
      <c r="K491" s="1067" t="s">
        <v>336</v>
      </c>
      <c r="L491" s="1387">
        <f>+Q452</f>
        <v>2.88</v>
      </c>
      <c r="M491" s="1387"/>
      <c r="N491" s="1387"/>
      <c r="O491" s="1387"/>
      <c r="P491" s="1387"/>
      <c r="Q491" s="1067" t="s">
        <v>324</v>
      </c>
      <c r="R491" s="296"/>
      <c r="S491" s="296"/>
      <c r="T491" s="1067" t="s">
        <v>316</v>
      </c>
      <c r="U491" s="1389">
        <f>1-0.5*((U489/(U490-U489)))</f>
        <v>0.9902120717781403</v>
      </c>
      <c r="V491" s="1389"/>
      <c r="W491" s="1389"/>
      <c r="X491" s="1390" t="s">
        <v>334</v>
      </c>
      <c r="Y491" s="1390"/>
      <c r="Z491" s="125"/>
      <c r="AA491" s="125"/>
      <c r="AC491" s="5"/>
      <c r="AF491" s="276"/>
      <c r="AI491" s="1384">
        <f>+F5/J5</f>
        <v>0.97435897435897434</v>
      </c>
      <c r="AJ491" s="1384"/>
      <c r="AW491" s="13"/>
      <c r="AX491" s="15"/>
      <c r="AY491" s="16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</row>
    <row r="492" spans="1:62" ht="15" customHeight="1">
      <c r="A492" s="136"/>
      <c r="B492" s="136"/>
      <c r="C492" s="130"/>
      <c r="D492" s="125"/>
      <c r="E492" s="1376"/>
      <c r="F492" s="1067"/>
      <c r="G492" s="1067"/>
      <c r="H492" s="1066"/>
      <c r="I492" s="1067"/>
      <c r="J492" s="1067"/>
      <c r="K492" s="1067"/>
      <c r="L492" s="1391">
        <f>+M452</f>
        <v>150</v>
      </c>
      <c r="M492" s="1391"/>
      <c r="N492" s="296" t="s">
        <v>330</v>
      </c>
      <c r="O492" s="1391">
        <f>+Q452</f>
        <v>2.88</v>
      </c>
      <c r="P492" s="1391"/>
      <c r="Q492" s="1067"/>
      <c r="R492" s="296"/>
      <c r="S492" s="296"/>
      <c r="T492" s="1067"/>
      <c r="U492" s="1389"/>
      <c r="V492" s="1389"/>
      <c r="W492" s="1389"/>
      <c r="X492" s="1390"/>
      <c r="Y492" s="1390"/>
      <c r="Z492" s="125"/>
      <c r="AA492" s="125"/>
      <c r="AC492" s="5"/>
      <c r="AF492" s="277"/>
      <c r="AI492" s="278" t="s">
        <v>307</v>
      </c>
      <c r="AJ492" s="279" t="s">
        <v>308</v>
      </c>
      <c r="AK492" s="279" t="s">
        <v>309</v>
      </c>
      <c r="AL492" s="279" t="s">
        <v>310</v>
      </c>
      <c r="AM492" s="280" t="s">
        <v>311</v>
      </c>
      <c r="BH492" s="1153"/>
      <c r="BI492" s="1153"/>
      <c r="BJ492" s="1153"/>
    </row>
    <row r="493" spans="1:62" ht="15" customHeight="1">
      <c r="A493" s="136"/>
      <c r="B493" s="136"/>
      <c r="C493" s="130"/>
      <c r="D493" s="1376" t="s">
        <v>318</v>
      </c>
      <c r="E493" s="1376" t="s">
        <v>316</v>
      </c>
      <c r="F493" s="1067">
        <v>1</v>
      </c>
      <c r="G493" s="1067"/>
      <c r="H493" s="1067" t="s">
        <v>337</v>
      </c>
      <c r="I493" s="1067">
        <v>0.2</v>
      </c>
      <c r="J493" s="1067"/>
      <c r="K493" s="1067"/>
      <c r="L493" s="1437" t="s">
        <v>338</v>
      </c>
      <c r="M493" s="1437"/>
      <c r="N493" s="1437" t="s">
        <v>331</v>
      </c>
      <c r="O493" s="1387">
        <v>30</v>
      </c>
      <c r="P493" s="1387"/>
      <c r="Q493" s="1387"/>
      <c r="R493" s="1067" t="s">
        <v>324</v>
      </c>
      <c r="S493" s="296"/>
      <c r="T493" s="1067" t="s">
        <v>316</v>
      </c>
      <c r="U493" s="1375">
        <f>1+0.2*LOG((O493/0.2))</f>
        <v>1.4352182518111363</v>
      </c>
      <c r="V493" s="1375"/>
      <c r="W493" s="1375"/>
      <c r="X493" s="296"/>
      <c r="Y493" s="296"/>
      <c r="Z493" s="125"/>
      <c r="AA493" s="125"/>
      <c r="AB493" s="85"/>
      <c r="AC493" s="5"/>
      <c r="AF493" s="276"/>
      <c r="AI493" s="281">
        <v>0</v>
      </c>
      <c r="AJ493" s="282">
        <v>0.4</v>
      </c>
      <c r="AK493" s="282">
        <v>0.1</v>
      </c>
      <c r="AL493" s="283">
        <f>SLOPE(AK493:AK494,AJ493:AJ494)</f>
        <v>0.16</v>
      </c>
      <c r="AM493" s="284">
        <f>INTERCEPT(AK493:AK494,AJ493:AJ494)</f>
        <v>3.5999999999999976E-2</v>
      </c>
      <c r="AW493" s="5"/>
      <c r="BH493" s="1191"/>
      <c r="BI493" s="1191"/>
      <c r="BJ493" s="1191"/>
    </row>
    <row r="494" spans="1:62" ht="15" customHeight="1">
      <c r="A494" s="136"/>
      <c r="B494" s="136"/>
      <c r="C494" s="130"/>
      <c r="D494" s="1376"/>
      <c r="E494" s="1376"/>
      <c r="F494" s="1067"/>
      <c r="G494" s="1067"/>
      <c r="H494" s="1067"/>
      <c r="I494" s="1067"/>
      <c r="J494" s="1067"/>
      <c r="K494" s="1067"/>
      <c r="L494" s="1437"/>
      <c r="M494" s="1437"/>
      <c r="N494" s="1437"/>
      <c r="O494" s="1391">
        <v>0.1</v>
      </c>
      <c r="P494" s="1391"/>
      <c r="Q494" s="1391"/>
      <c r="R494" s="1067"/>
      <c r="S494" s="296"/>
      <c r="T494" s="1067"/>
      <c r="U494" s="1375"/>
      <c r="V494" s="1375"/>
      <c r="W494" s="1375"/>
      <c r="X494" s="296"/>
      <c r="Y494" s="296"/>
      <c r="Z494" s="125"/>
      <c r="AA494" s="125"/>
      <c r="AB494" s="85"/>
      <c r="AC494" s="5"/>
      <c r="AF494" s="276"/>
      <c r="AI494" s="286">
        <v>0.5</v>
      </c>
      <c r="AJ494" s="287">
        <f>AI494*5+AJ493</f>
        <v>2.9</v>
      </c>
      <c r="AK494" s="282">
        <v>0.5</v>
      </c>
      <c r="AL494" s="283">
        <f>SLOPE(AK494:AK495,AJ494:AJ495)</f>
        <v>-9.8039215686274495E-2</v>
      </c>
      <c r="AM494" s="284">
        <f>INTERCEPT(AK494:AK495,AJ494:AJ495)</f>
        <v>0.78431372549019607</v>
      </c>
      <c r="AO494" s="107"/>
      <c r="AP494" s="107"/>
      <c r="AQ494" s="107"/>
      <c r="AR494" s="107"/>
      <c r="AS494" s="107"/>
      <c r="AW494" s="275"/>
      <c r="BH494" s="1063"/>
      <c r="BI494" s="1063"/>
      <c r="BJ494" s="1063"/>
    </row>
    <row r="495" spans="1:62" ht="15" customHeight="1">
      <c r="A495" s="136"/>
      <c r="B495" s="136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AB495" s="85"/>
      <c r="AC495" s="5"/>
      <c r="AF495" s="276"/>
      <c r="AI495" s="288">
        <v>2</v>
      </c>
      <c r="AJ495" s="289">
        <f>AI495*F5+AJ493</f>
        <v>8</v>
      </c>
      <c r="AK495" s="289">
        <v>0</v>
      </c>
      <c r="AL495" s="290"/>
      <c r="AM495" s="291"/>
      <c r="AO495" s="107"/>
      <c r="AP495" s="107"/>
      <c r="AQ495" s="107"/>
      <c r="AR495" s="107"/>
      <c r="AS495" s="107"/>
      <c r="AX495" s="3"/>
      <c r="AZ495" s="5"/>
      <c r="BI495" s="38"/>
      <c r="BJ495" s="38"/>
    </row>
    <row r="496" spans="1:62" ht="15" customHeight="1">
      <c r="A496" s="136"/>
      <c r="B496" s="1400" t="s">
        <v>339</v>
      </c>
      <c r="C496" s="1400"/>
      <c r="D496" s="1400"/>
      <c r="E496" s="1400"/>
      <c r="F496" s="1400"/>
      <c r="G496" s="1400"/>
      <c r="H496" s="1400"/>
      <c r="I496" s="1400"/>
      <c r="J496" s="1400"/>
      <c r="K496" s="1400"/>
      <c r="L496" s="1400"/>
      <c r="M496" s="1400"/>
      <c r="N496" s="1400"/>
      <c r="O496" s="1400"/>
      <c r="P496" s="1400"/>
      <c r="Q496" s="1400"/>
      <c r="R496" s="1400"/>
      <c r="S496" s="1401">
        <f>+U487</f>
        <v>46.77</v>
      </c>
      <c r="T496" s="1401"/>
      <c r="U496" s="1401"/>
      <c r="V496" s="1401"/>
      <c r="W496" s="1401"/>
      <c r="X496" s="1401"/>
      <c r="Y496" s="1401"/>
      <c r="Z496" s="1401"/>
      <c r="AA496" s="307"/>
      <c r="AB496" s="85"/>
      <c r="AC496" s="5"/>
      <c r="AF496" s="276"/>
      <c r="AI496" s="278" t="s">
        <v>314</v>
      </c>
      <c r="AJ496" s="279" t="s">
        <v>308</v>
      </c>
      <c r="AK496" s="279" t="s">
        <v>309</v>
      </c>
      <c r="AL496" s="292" t="s">
        <v>310</v>
      </c>
      <c r="AM496" s="293" t="s">
        <v>311</v>
      </c>
      <c r="AO496" s="107"/>
      <c r="AP496" s="107"/>
      <c r="AQ496" s="107"/>
      <c r="AR496" s="107"/>
      <c r="AS496" s="107"/>
      <c r="AX496" s="3"/>
      <c r="AZ496" s="5"/>
      <c r="BI496" s="38"/>
      <c r="BJ496" s="38"/>
    </row>
    <row r="497" spans="1:62" ht="15" customHeight="1">
      <c r="A497" s="136"/>
      <c r="B497" s="1402" t="s">
        <v>340</v>
      </c>
      <c r="C497" s="1402"/>
      <c r="D497" s="1402"/>
      <c r="E497" s="1402"/>
      <c r="F497" s="1402"/>
      <c r="G497" s="1402"/>
      <c r="H497" s="1402"/>
      <c r="I497" s="1402"/>
      <c r="J497" s="1402"/>
      <c r="K497" s="1402"/>
      <c r="L497" s="1402"/>
      <c r="M497" s="1402"/>
      <c r="N497" s="1402"/>
      <c r="O497" s="1402"/>
      <c r="P497" s="1402"/>
      <c r="Q497" s="1402"/>
      <c r="R497" s="1402"/>
      <c r="S497" s="1403">
        <v>25</v>
      </c>
      <c r="T497" s="1403"/>
      <c r="U497" s="1403"/>
      <c r="V497" s="1403"/>
      <c r="W497" s="1403"/>
      <c r="X497" s="1403"/>
      <c r="Y497" s="1403"/>
      <c r="Z497" s="1403"/>
      <c r="AA497" s="308"/>
      <c r="AB497" s="85"/>
      <c r="AE497" s="276"/>
      <c r="AI497" s="281">
        <v>0</v>
      </c>
      <c r="AJ497" s="294">
        <f>+I452</f>
        <v>0.16</v>
      </c>
      <c r="AK497" s="295">
        <f>0.0111*AI491+0.0889</f>
        <v>9.9715384615384622E-2</v>
      </c>
      <c r="AL497" s="283">
        <f>SLOPE(AK497:AK498,AJ497:AJ498)</f>
        <v>0.26340560400706331</v>
      </c>
      <c r="AM497" s="284">
        <f>+AK497</f>
        <v>9.9715384615384622E-2</v>
      </c>
      <c r="AO497" s="107"/>
      <c r="AP497" s="107"/>
      <c r="AR497" s="723">
        <f>0.0111*AI491+0.0889</f>
        <v>9.9715384615384622E-2</v>
      </c>
      <c r="AS497" s="107" t="s">
        <v>825</v>
      </c>
      <c r="AX497" s="3"/>
      <c r="AZ497" s="5"/>
      <c r="BI497" s="38"/>
      <c r="BJ497" s="38"/>
    </row>
    <row r="498" spans="1:62" ht="15" customHeight="1">
      <c r="A498" s="136"/>
      <c r="B498" s="1404" t="s">
        <v>341</v>
      </c>
      <c r="C498" s="1404"/>
      <c r="D498" s="1404"/>
      <c r="E498" s="1404"/>
      <c r="F498" s="1404"/>
      <c r="G498" s="1404"/>
      <c r="H498" s="1404"/>
      <c r="I498" s="1404"/>
      <c r="J498" s="1404"/>
      <c r="K498" s="1404"/>
      <c r="L498" s="1404"/>
      <c r="M498" s="1404"/>
      <c r="N498" s="1404"/>
      <c r="O498" s="1404"/>
      <c r="P498" s="1404"/>
      <c r="Q498" s="1404"/>
      <c r="R498" s="1404"/>
      <c r="S498" s="1404" t="str">
        <f>IF(S496 &lt;= S497, "O.K", "N.G")</f>
        <v>N.G</v>
      </c>
      <c r="T498" s="1404"/>
      <c r="U498" s="1404"/>
      <c r="V498" s="1404"/>
      <c r="W498" s="1404"/>
      <c r="X498" s="1404"/>
      <c r="Y498" s="1404"/>
      <c r="Z498" s="1404"/>
      <c r="AA498" s="309"/>
      <c r="AB498" s="85"/>
      <c r="AE498" s="276"/>
      <c r="AI498" s="298">
        <f>0.0556*AI491+0.444</f>
        <v>0.49817435897435897</v>
      </c>
      <c r="AJ498" s="282">
        <f>+AQ498</f>
        <v>2.06555</v>
      </c>
      <c r="AK498" s="282">
        <f>+AR498</f>
        <v>0.60164793333104405</v>
      </c>
      <c r="AL498" s="283">
        <f>SLOPE(AK498:AK499,AJ498:AJ499)</f>
        <v>-0.10605837690831682</v>
      </c>
      <c r="AM498" s="284">
        <f>+(AJ499-AJ497)*-AL498</f>
        <v>0.80374747344868713</v>
      </c>
      <c r="AO498" s="107"/>
      <c r="AP498" s="107"/>
      <c r="AQ498" s="107">
        <f>+B452*(0.5+0.0555*(E452/B452-1))+I452</f>
        <v>2.06555</v>
      </c>
      <c r="AR498" s="724">
        <f>0.5+0.1*SQRT((M452-Q452)/((I452+2.5*B452)*$AH$198))</f>
        <v>0.60164793333104405</v>
      </c>
      <c r="AS498" s="107" t="s">
        <v>826</v>
      </c>
      <c r="AX498" s="3"/>
      <c r="AZ498" s="5"/>
      <c r="BI498" s="38"/>
      <c r="BJ498" s="38"/>
    </row>
    <row r="499" spans="1:62" ht="15" customHeight="1">
      <c r="A499" s="136"/>
      <c r="B499" s="496"/>
      <c r="C499" s="496"/>
      <c r="D499" s="496"/>
      <c r="E499" s="496"/>
      <c r="F499" s="496"/>
      <c r="G499" s="496"/>
      <c r="H499" s="496"/>
      <c r="I499" s="496"/>
      <c r="J499" s="496"/>
      <c r="K499" s="496"/>
      <c r="L499" s="496"/>
      <c r="M499" s="496"/>
      <c r="N499" s="496"/>
      <c r="O499" s="496"/>
      <c r="P499" s="496"/>
      <c r="Q499" s="496"/>
      <c r="R499" s="496"/>
      <c r="S499" s="496"/>
      <c r="T499" s="496"/>
      <c r="U499" s="496"/>
      <c r="V499" s="496"/>
      <c r="W499" s="496"/>
      <c r="X499" s="496"/>
      <c r="Y499" s="496"/>
      <c r="Z499" s="496"/>
      <c r="AA499" s="309"/>
      <c r="AB499" s="125"/>
      <c r="AE499" s="276"/>
      <c r="AI499" s="299">
        <f>0.2222*AI491+1.7778</f>
        <v>1.9943025641025642</v>
      </c>
      <c r="AJ499" s="289">
        <f>AI499*F5+AJ497</f>
        <v>7.7383497435897439</v>
      </c>
      <c r="AK499" s="289">
        <v>0</v>
      </c>
      <c r="AL499" s="290"/>
      <c r="AM499" s="291"/>
      <c r="AO499" s="107"/>
      <c r="AP499" s="107"/>
      <c r="AQ499" s="725">
        <f>+AQ498-I452</f>
        <v>1.9055500000000001</v>
      </c>
      <c r="AR499" s="107"/>
      <c r="AS499" s="107"/>
      <c r="AX499" s="3"/>
      <c r="AZ499" s="5"/>
      <c r="BI499" s="38"/>
      <c r="BJ499" s="38"/>
    </row>
    <row r="500" spans="1:62" ht="15" customHeight="1">
      <c r="A500" s="136"/>
      <c r="B500" s="255" t="s">
        <v>479</v>
      </c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AB500" s="125"/>
      <c r="AE500" s="276"/>
      <c r="AI500" s="278" t="s">
        <v>326</v>
      </c>
      <c r="AJ500" s="279" t="s">
        <v>308</v>
      </c>
      <c r="AK500" s="279" t="s">
        <v>309</v>
      </c>
      <c r="AL500" s="292" t="s">
        <v>310</v>
      </c>
      <c r="AM500" s="293" t="s">
        <v>311</v>
      </c>
      <c r="AO500" s="107"/>
      <c r="AP500" s="107"/>
      <c r="AQ500" s="107"/>
      <c r="AR500" s="107"/>
      <c r="AS500" s="107"/>
      <c r="AX500" s="3"/>
      <c r="AZ500" s="5"/>
      <c r="BI500" s="38"/>
      <c r="BJ500" s="38"/>
    </row>
    <row r="501" spans="1:62" ht="15" customHeight="1">
      <c r="A501" s="136"/>
      <c r="B501" s="310"/>
      <c r="C501" s="256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AB501" s="125"/>
      <c r="AE501" s="276"/>
      <c r="AI501" s="281">
        <v>0</v>
      </c>
      <c r="AJ501" s="282">
        <f>+I452</f>
        <v>0.16</v>
      </c>
      <c r="AK501" s="282">
        <v>0.2</v>
      </c>
      <c r="AL501" s="283">
        <f>SLOPE(AK501:AK502,AJ501:AJ502)</f>
        <v>0.13687288420515842</v>
      </c>
      <c r="AM501" s="284">
        <f>+AK501</f>
        <v>0.2</v>
      </c>
      <c r="AO501" s="107"/>
      <c r="AP501" s="107"/>
      <c r="AQ501" s="107">
        <v>0.2</v>
      </c>
      <c r="AS501" s="107"/>
      <c r="BH501" s="38"/>
      <c r="BI501" s="38"/>
      <c r="BJ501" s="38"/>
    </row>
    <row r="502" spans="1:62" ht="29.25" customHeight="1">
      <c r="A502" s="136"/>
      <c r="B502" s="224" t="s">
        <v>343</v>
      </c>
      <c r="C502" s="131" t="s">
        <v>546</v>
      </c>
      <c r="D502" s="85"/>
      <c r="E502" s="85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85"/>
      <c r="AE502" s="276"/>
      <c r="AI502" s="286">
        <v>1</v>
      </c>
      <c r="AJ502" s="282">
        <f>AI502*F5+AJ501</f>
        <v>3.96</v>
      </c>
      <c r="AK502" s="282">
        <f>+AR502</f>
        <v>0.72011695997960201</v>
      </c>
      <c r="AL502" s="283">
        <f>SLOPE(AK502:AK503,AJ502:AJ503)</f>
        <v>-6.3168154384175612E-2</v>
      </c>
      <c r="AM502" s="284">
        <f>+(AJ503-AJ501)*-AL502</f>
        <v>0.96015594663946924</v>
      </c>
      <c r="AO502" s="107"/>
      <c r="AP502" s="107"/>
      <c r="AQ502" s="726">
        <f>+B452+I452</f>
        <v>3.96</v>
      </c>
      <c r="AR502" s="724">
        <f>0.5+0.1*SQRT((M452-Q452)/((I452+0.5*B452)*$AH$198))</f>
        <v>0.72011695997960201</v>
      </c>
      <c r="AS502" s="107"/>
      <c r="BH502" s="38"/>
      <c r="BI502" s="38"/>
      <c r="BJ502" s="38"/>
    </row>
    <row r="503" spans="1:62" ht="11.25" customHeight="1">
      <c r="A503" s="136"/>
      <c r="B503" s="224"/>
      <c r="C503" s="130" t="s">
        <v>480</v>
      </c>
      <c r="D503" s="85"/>
      <c r="E503" s="85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85"/>
      <c r="AE503" s="276"/>
      <c r="AI503" s="288">
        <v>4</v>
      </c>
      <c r="AJ503" s="289">
        <f>AI503*F5+AJ501</f>
        <v>15.36</v>
      </c>
      <c r="AK503" s="289">
        <v>0</v>
      </c>
      <c r="AL503" s="304"/>
      <c r="AM503" s="305"/>
      <c r="AO503" s="107"/>
      <c r="AP503" s="107"/>
      <c r="AQ503" s="733">
        <f>+AQ502-I452</f>
        <v>3.8</v>
      </c>
      <c r="AR503" s="107"/>
      <c r="AS503" s="107"/>
      <c r="BH503" s="38"/>
      <c r="BI503" s="38"/>
      <c r="BJ503" s="38"/>
    </row>
    <row r="504" spans="1:62" ht="13.5" customHeight="1">
      <c r="A504" s="136"/>
      <c r="B504" s="1392" t="s">
        <v>545</v>
      </c>
      <c r="C504" s="1392"/>
      <c r="D504" s="1411" t="s">
        <v>90</v>
      </c>
      <c r="E504" s="1510" t="s">
        <v>822</v>
      </c>
      <c r="F504" s="1510"/>
      <c r="G504" s="1510"/>
      <c r="H504" s="1510"/>
      <c r="I504" s="85"/>
      <c r="J504" s="132"/>
      <c r="K504" s="132"/>
      <c r="L504" s="132"/>
      <c r="M504" s="132"/>
      <c r="N504" s="132"/>
      <c r="O504" s="1392" t="s">
        <v>348</v>
      </c>
      <c r="P504" s="1411" t="s">
        <v>90</v>
      </c>
      <c r="Q504" s="1511" t="s">
        <v>349</v>
      </c>
      <c r="R504" s="1511"/>
      <c r="S504" s="1511"/>
      <c r="T504" s="1511"/>
      <c r="U504" s="1511"/>
      <c r="V504" s="1511"/>
      <c r="W504" s="1511"/>
      <c r="X504" s="132"/>
      <c r="Y504" s="132"/>
      <c r="Z504" s="85"/>
      <c r="AB504" s="125"/>
      <c r="AE504" s="276"/>
      <c r="BH504" s="38"/>
      <c r="BI504" s="38"/>
      <c r="BJ504" s="38"/>
    </row>
    <row r="505" spans="1:62" ht="13.5" customHeight="1">
      <c r="A505" s="136"/>
      <c r="B505" s="1392"/>
      <c r="C505" s="1392"/>
      <c r="D505" s="1316"/>
      <c r="E505" s="1512" t="s">
        <v>823</v>
      </c>
      <c r="F505" s="1512"/>
      <c r="G505" s="1512"/>
      <c r="H505" s="1512"/>
      <c r="I505" s="132"/>
      <c r="J505" s="132"/>
      <c r="K505" s="132"/>
      <c r="L505" s="132"/>
      <c r="M505" s="132"/>
      <c r="N505" s="132"/>
      <c r="O505" s="1392"/>
      <c r="P505" s="1316"/>
      <c r="Q505" s="1316" t="s">
        <v>544</v>
      </c>
      <c r="R505" s="1316"/>
      <c r="S505" s="1316"/>
      <c r="T505" s="1316"/>
      <c r="U505" s="1316"/>
      <c r="V505" s="1316"/>
      <c r="W505" s="1316"/>
      <c r="X505" s="132"/>
      <c r="Y505" s="132"/>
      <c r="Z505" s="85"/>
      <c r="AB505" s="125"/>
      <c r="AE505" s="276"/>
      <c r="BH505" s="38"/>
      <c r="BI505" s="38"/>
      <c r="BJ505" s="38"/>
    </row>
    <row r="506" spans="1:62" ht="13.5" customHeight="1">
      <c r="A506" s="136"/>
      <c r="B506" s="224"/>
      <c r="C506" s="311"/>
      <c r="D506" s="90"/>
      <c r="E506" s="90"/>
      <c r="F506" s="90"/>
      <c r="G506" s="90"/>
      <c r="H506" s="90"/>
      <c r="I506" s="132"/>
      <c r="J506" s="132"/>
      <c r="K506" s="132"/>
      <c r="L506" s="132"/>
      <c r="M506" s="132"/>
      <c r="N506" s="132"/>
      <c r="O506" s="311"/>
      <c r="P506" s="90"/>
      <c r="Q506" s="85"/>
      <c r="R506" s="132"/>
      <c r="S506" s="132"/>
      <c r="T506" s="132"/>
      <c r="U506" s="132"/>
      <c r="V506" s="132"/>
      <c r="W506" s="132"/>
      <c r="X506" s="132"/>
      <c r="Y506" s="132"/>
      <c r="Z506" s="85"/>
      <c r="AB506" s="125"/>
      <c r="AE506" s="276"/>
      <c r="BH506" s="38"/>
      <c r="BI506" s="38"/>
      <c r="BJ506" s="38"/>
    </row>
    <row r="507" spans="1:62" ht="27" customHeight="1">
      <c r="A507" s="136"/>
      <c r="B507" s="310"/>
      <c r="C507" s="1398" t="s">
        <v>352</v>
      </c>
      <c r="D507" s="1398"/>
      <c r="E507" s="1398"/>
      <c r="F507" s="1398"/>
      <c r="G507" s="1395" t="s">
        <v>542</v>
      </c>
      <c r="H507" s="1398"/>
      <c r="I507" s="1398"/>
      <c r="J507" s="1395" t="s">
        <v>489</v>
      </c>
      <c r="K507" s="1398"/>
      <c r="L507" s="1398"/>
      <c r="M507" s="1395" t="s">
        <v>498</v>
      </c>
      <c r="N507" s="1395"/>
      <c r="O507" s="1395"/>
      <c r="P507" s="1395"/>
      <c r="Q507" s="1395"/>
      <c r="R507" s="1395" t="s">
        <v>499</v>
      </c>
      <c r="S507" s="1395"/>
      <c r="T507" s="1395"/>
      <c r="U507" s="1393" t="s">
        <v>541</v>
      </c>
      <c r="V507" s="1393"/>
      <c r="W507" s="1393"/>
      <c r="X507" s="1393"/>
      <c r="Y507" s="252"/>
      <c r="AB507" s="125"/>
      <c r="AC507" s="276"/>
      <c r="AE507" s="1405" t="s">
        <v>485</v>
      </c>
      <c r="AF507" s="1405"/>
      <c r="AG507" s="1405"/>
      <c r="AH507" s="1405"/>
      <c r="AI507" s="1405"/>
      <c r="AJ507" s="1405"/>
      <c r="AK507" s="1405" t="s">
        <v>355</v>
      </c>
      <c r="AL507" s="1405"/>
      <c r="AM507" s="1405"/>
      <c r="AV507" s="5"/>
      <c r="BH507" s="38"/>
      <c r="BI507" s="38"/>
      <c r="BJ507" s="38"/>
    </row>
    <row r="508" spans="1:62" ht="18" customHeight="1">
      <c r="A508" s="136"/>
      <c r="B508" s="310"/>
      <c r="C508" s="1394" t="s">
        <v>481</v>
      </c>
      <c r="D508" s="1394"/>
      <c r="E508" s="1394"/>
      <c r="F508" s="1394"/>
      <c r="G508" s="1552">
        <f>+T92</f>
        <v>500</v>
      </c>
      <c r="H508" s="1394"/>
      <c r="I508" s="1394"/>
      <c r="J508" s="1399">
        <f>+X92</f>
        <v>1</v>
      </c>
      <c r="K508" s="1399"/>
      <c r="L508" s="1399"/>
      <c r="M508" s="1397">
        <v>200000</v>
      </c>
      <c r="N508" s="1397"/>
      <c r="O508" s="1397"/>
      <c r="P508" s="1397"/>
      <c r="Q508" s="1397"/>
      <c r="R508" s="1396">
        <f>AK508</f>
        <v>0.3</v>
      </c>
      <c r="S508" s="1396"/>
      <c r="T508" s="1396"/>
      <c r="U508" s="1394">
        <f>+M452-N452</f>
        <v>150</v>
      </c>
      <c r="V508" s="1394"/>
      <c r="W508" s="1394"/>
      <c r="X508" s="1394"/>
      <c r="Y508" s="252"/>
      <c r="AB508" s="125"/>
      <c r="AC508" s="276"/>
      <c r="AE508" s="1407">
        <v>200000</v>
      </c>
      <c r="AF508" s="1407"/>
      <c r="AG508" s="1407"/>
      <c r="AH508" s="1407"/>
      <c r="AI508" s="1407"/>
      <c r="AJ508" s="1407"/>
      <c r="AK508" s="1408">
        <v>0.3</v>
      </c>
      <c r="AL508" s="1408"/>
      <c r="AM508" s="1408"/>
      <c r="AV508" s="5"/>
      <c r="BH508" s="38"/>
      <c r="BI508" s="38"/>
      <c r="BJ508" s="38"/>
    </row>
    <row r="509" spans="1:62" ht="5.25" customHeight="1">
      <c r="A509" s="136"/>
      <c r="B509" s="310"/>
      <c r="C509" s="314"/>
      <c r="D509" s="314"/>
      <c r="E509" s="314"/>
      <c r="F509" s="314"/>
      <c r="G509" s="137"/>
      <c r="H509" s="137"/>
      <c r="I509" s="137"/>
      <c r="J509" s="315"/>
      <c r="K509" s="315"/>
      <c r="L509" s="315"/>
      <c r="M509" s="315"/>
      <c r="N509" s="315"/>
      <c r="O509" s="315"/>
      <c r="P509" s="258"/>
      <c r="Q509" s="258"/>
      <c r="R509" s="258"/>
      <c r="S509" s="137"/>
      <c r="T509" s="137"/>
      <c r="U509" s="137"/>
      <c r="V509" s="137"/>
      <c r="W509" s="137"/>
      <c r="X509" s="137"/>
      <c r="Y509" s="252"/>
      <c r="AE509" s="276"/>
      <c r="BH509" s="38"/>
      <c r="BI509" s="38"/>
      <c r="BJ509" s="38"/>
    </row>
    <row r="510" spans="1:62" ht="13.5" customHeight="1">
      <c r="A510" s="136"/>
      <c r="B510" s="1422" t="s">
        <v>350</v>
      </c>
      <c r="C510" s="1422"/>
      <c r="D510" s="1411" t="s">
        <v>90</v>
      </c>
      <c r="E510" s="1566" t="s">
        <v>349</v>
      </c>
      <c r="F510" s="1566"/>
      <c r="G510" s="1566"/>
      <c r="H510" s="1566"/>
      <c r="I510" s="1566"/>
      <c r="J510" s="1411" t="s">
        <v>90</v>
      </c>
      <c r="K510" s="1413">
        <f>+M508</f>
        <v>200000</v>
      </c>
      <c r="L510" s="1413"/>
      <c r="M510" s="1413"/>
      <c r="N510" s="316" t="s">
        <v>343</v>
      </c>
      <c r="O510" s="317" t="s">
        <v>357</v>
      </c>
      <c r="P510" s="319">
        <v>1</v>
      </c>
      <c r="Q510" s="320" t="s">
        <v>358</v>
      </c>
      <c r="R510" s="1414">
        <f>+R508</f>
        <v>0.3</v>
      </c>
      <c r="S510" s="1414"/>
      <c r="T510" s="1414"/>
      <c r="U510" s="319" t="s">
        <v>328</v>
      </c>
      <c r="V510" s="1411" t="s">
        <v>90</v>
      </c>
      <c r="W510" s="1412">
        <f>ROUND(K510*(1-R508)/((1+R508)*(1-2*R508)),0)</f>
        <v>269231</v>
      </c>
      <c r="X510" s="1412"/>
      <c r="Y510" s="1412"/>
      <c r="Z510" s="1412"/>
      <c r="AE510" s="276"/>
      <c r="BH510" s="38"/>
      <c r="BI510" s="38"/>
      <c r="BJ510" s="38"/>
    </row>
    <row r="511" spans="1:62" ht="13.5" customHeight="1">
      <c r="A511" s="136"/>
      <c r="B511" s="1422"/>
      <c r="C511" s="1422"/>
      <c r="D511" s="1316"/>
      <c r="E511" s="323" t="s">
        <v>351</v>
      </c>
      <c r="F511" s="324"/>
      <c r="G511" s="324"/>
      <c r="H511" s="324"/>
      <c r="I511" s="324"/>
      <c r="J511" s="1316"/>
      <c r="K511" s="325" t="s">
        <v>357</v>
      </c>
      <c r="L511" s="325">
        <v>1</v>
      </c>
      <c r="M511" s="326" t="s">
        <v>248</v>
      </c>
      <c r="N511" s="1568">
        <f>+R508</f>
        <v>0.3</v>
      </c>
      <c r="O511" s="1568"/>
      <c r="P511" s="285" t="s">
        <v>484</v>
      </c>
      <c r="Q511" s="135">
        <v>1</v>
      </c>
      <c r="R511" s="327" t="s">
        <v>358</v>
      </c>
      <c r="S511" s="1569">
        <f>2*R508</f>
        <v>0.6</v>
      </c>
      <c r="T511" s="1569"/>
      <c r="U511" s="135" t="s">
        <v>328</v>
      </c>
      <c r="V511" s="1316"/>
      <c r="W511" s="1412"/>
      <c r="X511" s="1412"/>
      <c r="Y511" s="1412"/>
      <c r="Z511" s="1412"/>
      <c r="AE511" s="276"/>
      <c r="AW511" s="5"/>
      <c r="AX511" s="3"/>
      <c r="AY511" s="3"/>
      <c r="BF511" s="38"/>
      <c r="BG511" s="38"/>
      <c r="BH511" s="38"/>
      <c r="BI511" s="38"/>
      <c r="BJ511" s="38"/>
    </row>
    <row r="512" spans="1:62" ht="13.5" customHeight="1">
      <c r="A512" s="136"/>
      <c r="B512" s="1422" t="s">
        <v>497</v>
      </c>
      <c r="C512" s="1422"/>
      <c r="D512" s="1411" t="s">
        <v>90</v>
      </c>
      <c r="E512" s="1511" t="s">
        <v>543</v>
      </c>
      <c r="F512" s="1511"/>
      <c r="G512" s="1511"/>
      <c r="H512" s="1511"/>
      <c r="I512" s="1411" t="s">
        <v>90</v>
      </c>
      <c r="J512" s="325"/>
      <c r="K512" s="1570">
        <f>+U508</f>
        <v>150</v>
      </c>
      <c r="L512" s="1570"/>
      <c r="M512" s="1570"/>
      <c r="N512" s="316" t="s">
        <v>343</v>
      </c>
      <c r="O512" s="1413">
        <f>+G508</f>
        <v>500</v>
      </c>
      <c r="P512" s="1413"/>
      <c r="Q512" s="285"/>
      <c r="R512" s="1411" t="s">
        <v>90</v>
      </c>
      <c r="S512" s="135"/>
      <c r="T512" s="1422">
        <f>ROUND((K512*O512)/K513,2)</f>
        <v>0.28000000000000003</v>
      </c>
      <c r="U512" s="1422"/>
      <c r="V512" s="1422" t="s">
        <v>360</v>
      </c>
      <c r="W512" s="1422"/>
      <c r="X512" s="135"/>
      <c r="Y512" s="132"/>
      <c r="Z512" s="85"/>
      <c r="AE512" s="276"/>
      <c r="AW512" s="5"/>
      <c r="AX512" s="3"/>
      <c r="AY512" s="3"/>
      <c r="BF512" s="38"/>
      <c r="BG512" s="38"/>
      <c r="BH512" s="38"/>
      <c r="BI512" s="38"/>
      <c r="BJ512" s="38"/>
    </row>
    <row r="513" spans="1:86" ht="13.5" customHeight="1">
      <c r="A513" s="136"/>
      <c r="B513" s="1422"/>
      <c r="C513" s="1422"/>
      <c r="D513" s="1316"/>
      <c r="E513" s="1571" t="s">
        <v>350</v>
      </c>
      <c r="F513" s="1571"/>
      <c r="G513" s="1571"/>
      <c r="H513" s="1571"/>
      <c r="I513" s="1316"/>
      <c r="J513" s="132"/>
      <c r="K513" s="1567">
        <f>+W510</f>
        <v>269231</v>
      </c>
      <c r="L513" s="1567"/>
      <c r="M513" s="1567"/>
      <c r="N513" s="1567"/>
      <c r="O513" s="1567"/>
      <c r="P513" s="1567"/>
      <c r="Q513" s="132"/>
      <c r="R513" s="1316"/>
      <c r="S513" s="132"/>
      <c r="T513" s="1422"/>
      <c r="U513" s="1422"/>
      <c r="V513" s="1422"/>
      <c r="W513" s="1422"/>
      <c r="X513" s="132"/>
      <c r="Y513" s="132"/>
      <c r="Z513" s="85"/>
      <c r="AE513" s="276"/>
      <c r="BH513" s="38"/>
      <c r="BI513" s="38"/>
      <c r="BJ513" s="38"/>
    </row>
    <row r="514" spans="1:86" ht="13.5" customHeight="1">
      <c r="A514" s="136"/>
      <c r="B514" s="135"/>
      <c r="C514" s="135"/>
      <c r="D514" s="90"/>
      <c r="E514" s="90"/>
      <c r="F514" s="90"/>
      <c r="G514" s="90"/>
      <c r="H514" s="90"/>
      <c r="I514" s="90"/>
      <c r="J514" s="132"/>
      <c r="K514" s="605"/>
      <c r="L514" s="605"/>
      <c r="M514" s="605"/>
      <c r="N514" s="605"/>
      <c r="O514" s="605"/>
      <c r="P514" s="605"/>
      <c r="Q514" s="132"/>
      <c r="R514" s="90"/>
      <c r="S514" s="132"/>
      <c r="T514" s="135"/>
      <c r="U514" s="135"/>
      <c r="V514" s="135"/>
      <c r="W514" s="135"/>
      <c r="X514" s="132"/>
      <c r="Y514" s="132"/>
      <c r="Z514" s="85"/>
      <c r="AE514" s="276"/>
      <c r="BH514" s="38"/>
      <c r="BI514" s="38"/>
      <c r="BJ514" s="38"/>
    </row>
    <row r="515" spans="1:86" ht="13.5" customHeight="1">
      <c r="A515" s="136"/>
      <c r="B515" s="641" t="s">
        <v>706</v>
      </c>
      <c r="C515" s="610"/>
      <c r="D515" s="610"/>
      <c r="E515" s="610"/>
      <c r="F515" s="610"/>
      <c r="G515" s="610"/>
      <c r="H515" s="610"/>
      <c r="I515" s="90"/>
      <c r="J515" s="132"/>
      <c r="K515" s="605"/>
      <c r="L515" s="605"/>
      <c r="M515" s="605"/>
      <c r="N515" s="605"/>
      <c r="O515" s="605"/>
      <c r="P515" s="605"/>
      <c r="Q515" s="132"/>
      <c r="R515" s="90"/>
      <c r="S515" s="132"/>
      <c r="T515" s="135"/>
      <c r="U515" s="135"/>
      <c r="V515" s="135"/>
      <c r="W515" s="135"/>
      <c r="X515" s="132"/>
      <c r="Y515" s="132"/>
      <c r="Z515" s="85"/>
      <c r="AE515" s="276"/>
      <c r="BH515" s="38"/>
      <c r="BI515" s="38"/>
      <c r="BJ515" s="38"/>
    </row>
    <row r="516" spans="1:86" ht="13.5" customHeight="1">
      <c r="A516" s="136"/>
      <c r="B516" s="641"/>
      <c r="C516" s="610"/>
      <c r="D516" s="610"/>
      <c r="E516" s="610"/>
      <c r="F516" s="610"/>
      <c r="G516" s="610"/>
      <c r="H516" s="610"/>
      <c r="I516" s="90"/>
      <c r="J516" s="132"/>
      <c r="K516" s="605"/>
      <c r="L516" s="605"/>
      <c r="M516" s="605"/>
      <c r="N516" s="605"/>
      <c r="O516" s="605"/>
      <c r="P516" s="605"/>
      <c r="Q516" s="132"/>
      <c r="R516" s="90"/>
      <c r="S516" s="132"/>
      <c r="T516" s="135"/>
      <c r="U516" s="135"/>
      <c r="V516" s="135"/>
      <c r="W516" s="135"/>
      <c r="X516" s="132"/>
      <c r="Y516" s="132"/>
      <c r="Z516" s="85"/>
      <c r="AE516" s="276"/>
      <c r="BH516" s="38"/>
      <c r="BI516" s="38"/>
      <c r="BJ516" s="38"/>
    </row>
    <row r="517" spans="1:86" ht="15" customHeight="1">
      <c r="A517" s="136"/>
      <c r="B517" s="224"/>
      <c r="C517" s="130" t="s">
        <v>482</v>
      </c>
      <c r="D517" s="85"/>
      <c r="E517" s="85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85"/>
      <c r="AE517" s="276"/>
      <c r="BH517" s="38"/>
      <c r="BI517" s="38"/>
      <c r="BJ517" s="38"/>
    </row>
    <row r="518" spans="1:86" ht="9.75" customHeight="1">
      <c r="A518" s="136"/>
      <c r="B518" s="224"/>
      <c r="C518" s="125" t="s">
        <v>362</v>
      </c>
      <c r="D518" s="296" t="s">
        <v>316</v>
      </c>
      <c r="E518" s="643" t="s">
        <v>708</v>
      </c>
      <c r="F518" s="125"/>
      <c r="G518" s="125"/>
      <c r="H518" s="125"/>
      <c r="I518" s="125"/>
      <c r="J518" s="125"/>
      <c r="K518" s="125"/>
      <c r="L518" s="125"/>
      <c r="M518" s="85"/>
      <c r="N518" s="125"/>
      <c r="O518" s="125"/>
      <c r="Q518" s="297"/>
      <c r="R518" s="296"/>
      <c r="S518" s="296"/>
      <c r="T518" s="296"/>
      <c r="U518" s="125"/>
      <c r="V518" s="125"/>
      <c r="W518" s="132"/>
      <c r="X518" s="132"/>
      <c r="Y518" s="132"/>
      <c r="Z518" s="85"/>
      <c r="AE518" s="276"/>
      <c r="BH518" s="38"/>
      <c r="BI518" s="38"/>
      <c r="BJ518" s="38"/>
    </row>
    <row r="519" spans="1:86" ht="15" customHeight="1">
      <c r="A519" s="136"/>
      <c r="B519" s="136"/>
      <c r="E519" s="258"/>
      <c r="F519" s="258"/>
      <c r="G519" s="258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AE519" s="276"/>
      <c r="BH519" s="38"/>
      <c r="BI519" s="38"/>
      <c r="BJ519" s="38"/>
    </row>
    <row r="520" spans="1:86" ht="15" customHeight="1">
      <c r="A520" s="136"/>
      <c r="B520" s="1420" t="s">
        <v>547</v>
      </c>
      <c r="C520" s="1421"/>
      <c r="D520" s="1421"/>
      <c r="E520" s="1334" t="s">
        <v>548</v>
      </c>
      <c r="F520" s="1334"/>
      <c r="G520" s="1334"/>
      <c r="H520" s="1406" t="s">
        <v>549</v>
      </c>
      <c r="I520" s="1406"/>
      <c r="J520" s="1406"/>
      <c r="K520" s="1406"/>
      <c r="L520" s="1084" t="s">
        <v>286</v>
      </c>
      <c r="M520" s="1084"/>
      <c r="N520" s="1084" t="s">
        <v>550</v>
      </c>
      <c r="O520" s="1084"/>
      <c r="P520" s="1084"/>
      <c r="Q520" s="1084" t="s">
        <v>287</v>
      </c>
      <c r="R520" s="1084"/>
      <c r="S520" s="1084"/>
      <c r="T520" s="1084" t="s">
        <v>288</v>
      </c>
      <c r="U520" s="1084"/>
      <c r="V520" s="1084"/>
      <c r="W520" s="1084" t="s">
        <v>289</v>
      </c>
      <c r="X520" s="1084"/>
      <c r="Y520" s="1311"/>
      <c r="AE520" s="276"/>
      <c r="BH520" s="38"/>
      <c r="BI520" s="38"/>
      <c r="BJ520" s="38"/>
    </row>
    <row r="521" spans="1:86" ht="10.5" customHeight="1">
      <c r="A521" s="136"/>
      <c r="B521" s="1325">
        <f>$F$5</f>
        <v>3.8</v>
      </c>
      <c r="C521" s="1326"/>
      <c r="D521" s="1326"/>
      <c r="E521" s="1335">
        <f>$J$5</f>
        <v>3.9</v>
      </c>
      <c r="F521" s="1335"/>
      <c r="G521" s="1335"/>
      <c r="H521" s="1333">
        <f>+N5+T92/1000</f>
        <v>0.66</v>
      </c>
      <c r="I521" s="1333"/>
      <c r="J521" s="1333"/>
      <c r="K521" s="1333"/>
      <c r="L521" s="1332">
        <f>+R5</f>
        <v>150</v>
      </c>
      <c r="M521" s="1332"/>
      <c r="N521" s="1419">
        <f>+W577</f>
        <v>94.5</v>
      </c>
      <c r="O521" s="1332"/>
      <c r="P521" s="1332"/>
      <c r="Q521" s="1332">
        <f>ROUND(Q452+0.001*G508*AH199,1)</f>
        <v>11.9</v>
      </c>
      <c r="R521" s="1332"/>
      <c r="S521" s="1332"/>
      <c r="T521" s="1333">
        <f>+IF(Q521/(N521-Q521)&gt;1,0.5,1-0.5*(Q521/(N521-Q521)))</f>
        <v>0.92796610169491522</v>
      </c>
      <c r="U521" s="1333"/>
      <c r="V521" s="1333"/>
      <c r="W521" s="1333">
        <f>+U585</f>
        <v>1.4352182518111363</v>
      </c>
      <c r="X521" s="1333"/>
      <c r="Y521" s="1308"/>
      <c r="AE521" s="276"/>
      <c r="BH521" s="38"/>
      <c r="BI521" s="38"/>
      <c r="BJ521" s="38"/>
    </row>
    <row r="522" spans="1:86" ht="14.25" customHeight="1" thickBot="1">
      <c r="A522" s="136"/>
      <c r="B522" s="159"/>
      <c r="C522" s="159"/>
      <c r="D522" s="159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258"/>
      <c r="R522" s="258"/>
      <c r="S522" s="258"/>
      <c r="T522" s="258"/>
      <c r="U522" s="258"/>
      <c r="V522" s="258"/>
      <c r="W522" s="258"/>
      <c r="X522" s="252"/>
      <c r="Y522" s="252"/>
      <c r="AC522" s="452"/>
      <c r="AD522" s="452" t="s">
        <v>369</v>
      </c>
      <c r="AE522" s="515" t="s">
        <v>483</v>
      </c>
      <c r="AF522" s="452"/>
      <c r="AG522" s="452"/>
      <c r="AH522" s="452"/>
      <c r="AI522" s="452"/>
      <c r="AJ522" s="452"/>
      <c r="BH522" s="38"/>
      <c r="BI522" s="38"/>
      <c r="BJ522" s="38"/>
    </row>
    <row r="523" spans="1:86" ht="14.25" customHeight="1" thickTop="1">
      <c r="A523" s="136"/>
      <c r="B523" s="913" t="s">
        <v>290</v>
      </c>
      <c r="C523" s="914"/>
      <c r="D523" s="915"/>
      <c r="E523" s="1351" t="s">
        <v>49</v>
      </c>
      <c r="F523" s="1351"/>
      <c r="G523" s="1351" t="s">
        <v>501</v>
      </c>
      <c r="H523" s="1351"/>
      <c r="I523" s="1351"/>
      <c r="J523" s="1351" t="s">
        <v>55</v>
      </c>
      <c r="K523" s="1351"/>
      <c r="L523" s="1351"/>
      <c r="M523" s="1351" t="s">
        <v>500</v>
      </c>
      <c r="N523" s="1351"/>
      <c r="O523" s="1415" t="s">
        <v>569</v>
      </c>
      <c r="P523" s="1415"/>
      <c r="Q523" s="1416"/>
      <c r="S523" s="259"/>
      <c r="T523" s="259"/>
      <c r="U523" s="259"/>
      <c r="V523" s="259"/>
      <c r="X523" s="259"/>
      <c r="Y523" s="259"/>
      <c r="Z523" s="259"/>
      <c r="AE523" s="276"/>
      <c r="BH523" s="38"/>
      <c r="BI523" s="38"/>
      <c r="BJ523" s="38"/>
    </row>
    <row r="524" spans="1:86" ht="14.25" customHeight="1">
      <c r="A524" s="136"/>
      <c r="B524" s="916"/>
      <c r="C524" s="917"/>
      <c r="D524" s="918"/>
      <c r="E524" s="1352"/>
      <c r="F524" s="1352"/>
      <c r="G524" s="1352"/>
      <c r="H524" s="1352"/>
      <c r="I524" s="1352"/>
      <c r="J524" s="1352"/>
      <c r="K524" s="1352"/>
      <c r="L524" s="1352"/>
      <c r="M524" s="1352"/>
      <c r="N524" s="1352"/>
      <c r="O524" s="1417"/>
      <c r="P524" s="1417"/>
      <c r="Q524" s="1418"/>
      <c r="S524" s="259"/>
      <c r="T524" s="259"/>
      <c r="U524" s="259"/>
      <c r="V524" s="259"/>
      <c r="X524" s="259"/>
      <c r="Y524" s="259"/>
      <c r="Z524" s="259"/>
      <c r="AD524" s="11"/>
      <c r="AE524" s="12"/>
      <c r="AF524" s="13"/>
      <c r="AG524" s="13"/>
      <c r="AJ524" s="490" t="s">
        <v>326</v>
      </c>
      <c r="AK524" s="490" t="s">
        <v>314</v>
      </c>
      <c r="AL524" s="882" t="s">
        <v>314</v>
      </c>
      <c r="AM524" s="882"/>
      <c r="AN524" s="882" t="s">
        <v>753</v>
      </c>
      <c r="AO524" s="882"/>
      <c r="AS524" s="14" t="s">
        <v>11</v>
      </c>
      <c r="AT524" s="13"/>
      <c r="AU524" s="13"/>
      <c r="AV524" s="13"/>
      <c r="AX524" s="490" t="s">
        <v>326</v>
      </c>
      <c r="AY524" s="490" t="s">
        <v>314</v>
      </c>
      <c r="BH524" s="38"/>
      <c r="BI524" s="38"/>
      <c r="BJ524" s="38"/>
      <c r="BK524" s="38"/>
    </row>
    <row r="525" spans="1:86" ht="14.25" customHeight="1">
      <c r="A525" s="136"/>
      <c r="B525" s="916"/>
      <c r="C525" s="917"/>
      <c r="D525" s="918"/>
      <c r="E525" s="1357" t="s">
        <v>20</v>
      </c>
      <c r="F525" s="1357"/>
      <c r="G525" s="1358" t="s">
        <v>295</v>
      </c>
      <c r="H525" s="1358"/>
      <c r="I525" s="1358"/>
      <c r="J525" s="1359" t="s">
        <v>296</v>
      </c>
      <c r="K525" s="1359"/>
      <c r="L525" s="1359"/>
      <c r="M525" s="1359" t="s">
        <v>297</v>
      </c>
      <c r="N525" s="1359"/>
      <c r="O525" s="1359" t="s">
        <v>298</v>
      </c>
      <c r="P525" s="1359"/>
      <c r="Q525" s="1360"/>
      <c r="S525" s="260"/>
      <c r="T525" s="260"/>
      <c r="U525" s="260"/>
      <c r="V525" s="260"/>
      <c r="X525" s="12"/>
      <c r="Y525" s="12"/>
      <c r="Z525" s="12"/>
      <c r="AD525" s="958" t="s">
        <v>19</v>
      </c>
      <c r="AE525" s="959"/>
      <c r="AF525" s="960"/>
      <c r="AG525" s="1365" t="s">
        <v>20</v>
      </c>
      <c r="AH525" s="1366"/>
      <c r="AI525" s="18" t="s">
        <v>21</v>
      </c>
      <c r="AJ525" s="928" t="s">
        <v>22</v>
      </c>
      <c r="AK525" s="928" t="s">
        <v>22</v>
      </c>
      <c r="AL525" s="18"/>
      <c r="AM525" s="1337"/>
      <c r="AN525" s="18" t="s">
        <v>23</v>
      </c>
      <c r="AO525" s="1337" t="s">
        <v>24</v>
      </c>
      <c r="AP525" s="11"/>
      <c r="AQ525" s="1423" t="s">
        <v>25</v>
      </c>
      <c r="AR525" s="330"/>
      <c r="AS525" s="1423" t="s">
        <v>26</v>
      </c>
      <c r="AT525" s="1423"/>
      <c r="AU525" s="1423" t="s">
        <v>27</v>
      </c>
      <c r="AV525" s="1423"/>
      <c r="AX525" s="883" t="s">
        <v>754</v>
      </c>
      <c r="AY525" s="885" t="s">
        <v>754</v>
      </c>
      <c r="BH525" s="38"/>
      <c r="BI525" s="38"/>
      <c r="BJ525" s="38"/>
      <c r="BK525" s="38"/>
    </row>
    <row r="526" spans="1:86" ht="14.25" customHeight="1">
      <c r="A526" s="136"/>
      <c r="B526" s="919"/>
      <c r="C526" s="920"/>
      <c r="D526" s="921"/>
      <c r="E526" s="1357"/>
      <c r="F526" s="1357"/>
      <c r="G526" s="1358"/>
      <c r="H526" s="1358"/>
      <c r="I526" s="1358"/>
      <c r="J526" s="1359"/>
      <c r="K526" s="1359"/>
      <c r="L526" s="1359"/>
      <c r="M526" s="1359"/>
      <c r="N526" s="1359"/>
      <c r="O526" s="1359"/>
      <c r="P526" s="1359"/>
      <c r="Q526" s="1360"/>
      <c r="S526" s="260"/>
      <c r="T526" s="260"/>
      <c r="U526" s="260"/>
      <c r="V526" s="260"/>
      <c r="X526" s="12"/>
      <c r="Y526" s="12"/>
      <c r="Z526" s="12"/>
      <c r="AD526" s="961"/>
      <c r="AE526" s="962"/>
      <c r="AF526" s="963"/>
      <c r="AG526" s="1367"/>
      <c r="AH526" s="1368"/>
      <c r="AI526" s="539" t="s">
        <v>30</v>
      </c>
      <c r="AJ526" s="929"/>
      <c r="AK526" s="929"/>
      <c r="AL526" s="539"/>
      <c r="AM526" s="1338"/>
      <c r="AN526" s="539" t="s">
        <v>32</v>
      </c>
      <c r="AO526" s="1338"/>
      <c r="AP526" s="11"/>
      <c r="AQ526" s="1423"/>
      <c r="AR526" s="330"/>
      <c r="AS526" s="1423"/>
      <c r="AT526" s="1423"/>
      <c r="AU526" s="1423"/>
      <c r="AV526" s="1423"/>
      <c r="AX526" s="884"/>
      <c r="AY526" s="886"/>
      <c r="BH526" s="38"/>
      <c r="BI526" s="38"/>
      <c r="BJ526" s="38"/>
      <c r="BK526" s="38"/>
    </row>
    <row r="527" spans="1:86" ht="14.25" customHeight="1">
      <c r="A527" s="136"/>
      <c r="B527" s="569">
        <f>+AD527</f>
        <v>0.66</v>
      </c>
      <c r="C527" s="526" t="s">
        <v>35</v>
      </c>
      <c r="D527" s="572">
        <f>+AF527</f>
        <v>1</v>
      </c>
      <c r="E527" s="909">
        <f>+D527-B527</f>
        <v>0.33999999999999997</v>
      </c>
      <c r="F527" s="909"/>
      <c r="G527" s="910">
        <f>+AQ527</f>
        <v>0.16999999999999998</v>
      </c>
      <c r="H527" s="910"/>
      <c r="I527" s="910"/>
      <c r="J527" s="911">
        <f>+AI527</f>
        <v>9500</v>
      </c>
      <c r="K527" s="912"/>
      <c r="L527" s="912"/>
      <c r="M527" s="906">
        <f>IF(($E$521/$B$521)&lt;10,AK527,AJ527)</f>
        <v>0.1420515775108967</v>
      </c>
      <c r="N527" s="906"/>
      <c r="O527" s="907">
        <f>IF(J527=0,0,IF(M527&lt;0,0,ROUND(M527*E527/J527,7)))</f>
        <v>5.1000000000000003E-6</v>
      </c>
      <c r="P527" s="907"/>
      <c r="Q527" s="908"/>
      <c r="S527" s="264"/>
      <c r="T527" s="264"/>
      <c r="U527" s="264"/>
      <c r="V527" s="264"/>
      <c r="X527" s="264"/>
      <c r="Y527" s="264"/>
      <c r="Z527" s="264"/>
      <c r="AD527" s="552">
        <f>+H521</f>
        <v>0.66</v>
      </c>
      <c r="AE527" s="554" t="str">
        <f t="shared" ref="AE527:AE556" si="39">+AE458</f>
        <v>~</v>
      </c>
      <c r="AF527" s="551">
        <v>1</v>
      </c>
      <c r="AG527" s="1427">
        <f>+AF527-AD527</f>
        <v>0.33999999999999997</v>
      </c>
      <c r="AH527" s="1427"/>
      <c r="AI527" s="591">
        <f t="shared" ref="AI527:AI553" si="40">+AI458</f>
        <v>9500</v>
      </c>
      <c r="AJ527" s="604">
        <f>IF(AG527="","",(IF(AQ527&lt;$AQ$574,(AQ527*$AL$572+$AM$572),(AQ527*$AL$573+$AM$573))))</f>
        <v>0.21843568589691978</v>
      </c>
      <c r="AK527" s="734">
        <f>IF(AG527="","",(IF(AQ527&lt;$AQ$570,($AL$568*AQ527+$AM$568),((AQ527*$AL$569+$AM$569)))))</f>
        <v>0.1420515775108967</v>
      </c>
      <c r="AL527" s="1409">
        <f>+ROUND(IF(AK527&lt;0,0,AK527*AG527/AI527),7)</f>
        <v>5.1000000000000003E-6</v>
      </c>
      <c r="AM527" s="1410"/>
      <c r="AN527" s="1424">
        <f>+ROUND(IF(AJ527&lt;0,0,AJ527*AG527/AI527),7)</f>
        <v>7.7999999999999999E-6</v>
      </c>
      <c r="AO527" s="1425"/>
      <c r="AP527" s="558" t="str">
        <f>+IF(AG527=1,"","no")</f>
        <v>no</v>
      </c>
      <c r="AQ527" s="556">
        <f>SUM(AG527)/2</f>
        <v>0.16999999999999998</v>
      </c>
      <c r="AR527" s="29"/>
      <c r="AS527" s="871">
        <v>1</v>
      </c>
      <c r="AT527" s="871"/>
      <c r="AU527" s="863">
        <f t="shared" ref="AU527:AU552" si="41">+AF11</f>
        <v>4</v>
      </c>
      <c r="AV527" s="864"/>
      <c r="AX527" s="735">
        <f>+IF(OR(AJ527&lt;0,""),0,AG527*AI527)</f>
        <v>3229.9999999999995</v>
      </c>
      <c r="AY527" s="736">
        <f>+IF(OR(AK527&lt;0,""),0,AI527*AG527)</f>
        <v>3229.9999999999995</v>
      </c>
      <c r="BH527" s="38"/>
      <c r="BI527" s="38"/>
      <c r="BJ527" s="38"/>
      <c r="BK527" s="38"/>
      <c r="CG527" s="5"/>
      <c r="CH527" s="5"/>
    </row>
    <row r="528" spans="1:86" ht="14.25" customHeight="1">
      <c r="A528" s="136"/>
      <c r="B528" s="569">
        <f>+AD528</f>
        <v>1</v>
      </c>
      <c r="C528" s="526" t="s">
        <v>35</v>
      </c>
      <c r="D528" s="572">
        <f t="shared" ref="D528:D535" si="42">+AF528</f>
        <v>2</v>
      </c>
      <c r="E528" s="909">
        <f t="shared" ref="E528:E535" si="43">+D528-B528</f>
        <v>1</v>
      </c>
      <c r="F528" s="909"/>
      <c r="G528" s="910">
        <f t="shared" ref="G528:G535" si="44">+AQ528</f>
        <v>0.84</v>
      </c>
      <c r="H528" s="910"/>
      <c r="I528" s="910"/>
      <c r="J528" s="911">
        <f t="shared" ref="J528:J536" si="45">+AI528</f>
        <v>10000</v>
      </c>
      <c r="K528" s="912"/>
      <c r="L528" s="912"/>
      <c r="M528" s="906">
        <f t="shared" ref="M528:M536" si="46">IF(($E$521/$B$521)&lt;10,AK528,AJ528)</f>
        <v>0.30890598480497367</v>
      </c>
      <c r="N528" s="906"/>
      <c r="O528" s="907">
        <f t="shared" ref="O528:O535" si="47">IF(J528=0,0,IF(M528&lt;0,0,ROUND(M528*E528/J528,7)))</f>
        <v>3.0899999999999999E-5</v>
      </c>
      <c r="P528" s="907"/>
      <c r="Q528" s="908"/>
      <c r="S528" s="264"/>
      <c r="T528" s="264"/>
      <c r="U528" s="264"/>
      <c r="V528" s="264"/>
      <c r="X528" s="264"/>
      <c r="Y528" s="264"/>
      <c r="Z528" s="264"/>
      <c r="AD528" s="41">
        <f>+AF527</f>
        <v>1</v>
      </c>
      <c r="AE528" s="341" t="str">
        <f t="shared" si="39"/>
        <v>~</v>
      </c>
      <c r="AF528" s="551">
        <f t="shared" ref="AF528:AF552" si="48">+AF459</f>
        <v>2</v>
      </c>
      <c r="AG528" s="1426">
        <f>+AF528-AD528</f>
        <v>1</v>
      </c>
      <c r="AH528" s="1426"/>
      <c r="AI528" s="591">
        <f t="shared" si="40"/>
        <v>10000</v>
      </c>
      <c r="AJ528" s="604">
        <f t="shared" ref="AJ528:AJ553" si="49">IF(AG528="","",(IF(AQ528&lt;$AQ$574,(AQ528*$AL$572+$AM$572),(AQ528*$AL$573+$AM$573))))</f>
        <v>0.29109397737301534</v>
      </c>
      <c r="AK528" s="734">
        <f t="shared" ref="AK528:AK553" si="50">IF(AG528="","",(IF(AQ528&lt;$AQ$570,($AL$568*AQ528+$AM$568),((AQ528*$AL$569+$AM$569)))))</f>
        <v>0.30890598480497367</v>
      </c>
      <c r="AL528" s="1409">
        <f t="shared" ref="AL528:AL553" si="51">+ROUND(IF(AK528&lt;0,0,AK528*AG528/AI528),7)</f>
        <v>3.0899999999999999E-5</v>
      </c>
      <c r="AM528" s="1410"/>
      <c r="AN528" s="1424">
        <f t="shared" ref="AN528:AN552" si="52">+ROUND(IF(AJ528&lt;0,0,AJ528*AG528/AI528),7)</f>
        <v>2.9099999999999999E-5</v>
      </c>
      <c r="AO528" s="1425"/>
      <c r="AP528" s="558" t="str">
        <f t="shared" ref="AP528:AP556" si="53">+IF(AG528=1,"","no")</f>
        <v/>
      </c>
      <c r="AQ528" s="556">
        <f>SUM(AG527)+(AG528/2)</f>
        <v>0.84</v>
      </c>
      <c r="AR528" s="29"/>
      <c r="AS528" s="871">
        <v>2</v>
      </c>
      <c r="AT528" s="871"/>
      <c r="AU528" s="863">
        <f t="shared" si="41"/>
        <v>5</v>
      </c>
      <c r="AV528" s="864"/>
      <c r="AX528" s="735">
        <f t="shared" ref="AX528:AX556" si="54">+IF(OR(AJ528&lt;0,""),0,AG528*AI528)</f>
        <v>10000</v>
      </c>
      <c r="AY528" s="736">
        <f t="shared" ref="AY528:AY556" si="55">+IF(OR(AK528&lt;0,""),0,AI528*AG528)</f>
        <v>10000</v>
      </c>
      <c r="BH528" s="38"/>
      <c r="BI528" s="38"/>
      <c r="BJ528" s="38"/>
      <c r="BK528" s="38"/>
      <c r="CG528" s="5"/>
      <c r="CH528" s="5"/>
    </row>
    <row r="529" spans="1:96" ht="14.25" customHeight="1">
      <c r="A529" s="136"/>
      <c r="B529" s="569">
        <f t="shared" ref="B529:B536" si="56">+AD529</f>
        <v>2</v>
      </c>
      <c r="C529" s="526" t="s">
        <v>35</v>
      </c>
      <c r="D529" s="572">
        <f t="shared" si="42"/>
        <v>3</v>
      </c>
      <c r="E529" s="909">
        <f t="shared" si="43"/>
        <v>1</v>
      </c>
      <c r="F529" s="909"/>
      <c r="G529" s="910">
        <f t="shared" si="44"/>
        <v>1.8399999999999999</v>
      </c>
      <c r="H529" s="910"/>
      <c r="I529" s="910"/>
      <c r="J529" s="911">
        <f t="shared" si="45"/>
        <v>10000</v>
      </c>
      <c r="K529" s="912"/>
      <c r="L529" s="912"/>
      <c r="M529" s="906">
        <f t="shared" si="46"/>
        <v>0.55794241360210339</v>
      </c>
      <c r="N529" s="906"/>
      <c r="O529" s="907">
        <f t="shared" si="47"/>
        <v>5.5800000000000001E-5</v>
      </c>
      <c r="P529" s="907"/>
      <c r="Q529" s="908"/>
      <c r="S529" s="264"/>
      <c r="T529" s="264"/>
      <c r="U529" s="264"/>
      <c r="V529" s="264"/>
      <c r="X529" s="264"/>
      <c r="Y529" s="264"/>
      <c r="Z529" s="264"/>
      <c r="AD529" s="41">
        <f t="shared" ref="AD529:AD556" si="57">+AF528</f>
        <v>2</v>
      </c>
      <c r="AE529" s="341" t="str">
        <f t="shared" si="39"/>
        <v>~</v>
      </c>
      <c r="AF529" s="551">
        <f t="shared" si="48"/>
        <v>3</v>
      </c>
      <c r="AG529" s="1426">
        <f t="shared" ref="AG529:AG551" si="58">+AF529-AD529</f>
        <v>1</v>
      </c>
      <c r="AH529" s="1426"/>
      <c r="AI529" s="591">
        <f t="shared" si="40"/>
        <v>10000</v>
      </c>
      <c r="AJ529" s="604">
        <f t="shared" si="49"/>
        <v>0.39953918853136694</v>
      </c>
      <c r="AK529" s="734">
        <f t="shared" si="50"/>
        <v>0.55794241360210339</v>
      </c>
      <c r="AL529" s="1409">
        <f t="shared" si="51"/>
        <v>5.5800000000000001E-5</v>
      </c>
      <c r="AM529" s="1410"/>
      <c r="AN529" s="1424">
        <f t="shared" si="52"/>
        <v>4.0000000000000003E-5</v>
      </c>
      <c r="AO529" s="1425"/>
      <c r="AP529" s="558" t="str">
        <f t="shared" si="53"/>
        <v/>
      </c>
      <c r="AQ529" s="556">
        <f>SUM($AG$527:AG528)+(AG529/2)</f>
        <v>1.8399999999999999</v>
      </c>
      <c r="AR529" s="29"/>
      <c r="AS529" s="871">
        <v>3</v>
      </c>
      <c r="AT529" s="871"/>
      <c r="AU529" s="863">
        <f t="shared" si="41"/>
        <v>5</v>
      </c>
      <c r="AV529" s="864"/>
      <c r="AX529" s="735">
        <f t="shared" si="54"/>
        <v>10000</v>
      </c>
      <c r="AY529" s="736">
        <f t="shared" si="55"/>
        <v>10000</v>
      </c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38"/>
      <c r="CH529" s="5"/>
    </row>
    <row r="530" spans="1:96" ht="14.25" customHeight="1">
      <c r="A530" s="136"/>
      <c r="B530" s="569">
        <f t="shared" si="56"/>
        <v>3</v>
      </c>
      <c r="C530" s="526" t="s">
        <v>35</v>
      </c>
      <c r="D530" s="572">
        <f t="shared" si="42"/>
        <v>4</v>
      </c>
      <c r="E530" s="909">
        <f t="shared" si="43"/>
        <v>1</v>
      </c>
      <c r="F530" s="909"/>
      <c r="G530" s="910">
        <f t="shared" si="44"/>
        <v>2.84</v>
      </c>
      <c r="H530" s="910"/>
      <c r="I530" s="910"/>
      <c r="J530" s="911">
        <f t="shared" si="45"/>
        <v>9500</v>
      </c>
      <c r="K530" s="912"/>
      <c r="L530" s="912"/>
      <c r="M530" s="906">
        <f t="shared" si="46"/>
        <v>0.47967085703019535</v>
      </c>
      <c r="N530" s="906"/>
      <c r="O530" s="907">
        <f t="shared" si="47"/>
        <v>5.0500000000000001E-5</v>
      </c>
      <c r="P530" s="907"/>
      <c r="Q530" s="908"/>
      <c r="S530" s="264"/>
      <c r="T530" s="264"/>
      <c r="U530" s="264"/>
      <c r="V530" s="264"/>
      <c r="X530" s="264"/>
      <c r="Y530" s="264"/>
      <c r="Z530" s="264"/>
      <c r="AD530" s="41">
        <f t="shared" si="57"/>
        <v>3</v>
      </c>
      <c r="AE530" s="341" t="str">
        <f t="shared" si="39"/>
        <v>~</v>
      </c>
      <c r="AF530" s="551">
        <f t="shared" si="48"/>
        <v>4</v>
      </c>
      <c r="AG530" s="1426">
        <f t="shared" si="58"/>
        <v>1</v>
      </c>
      <c r="AH530" s="1426"/>
      <c r="AI530" s="591">
        <f t="shared" si="40"/>
        <v>9500</v>
      </c>
      <c r="AJ530" s="604">
        <f t="shared" si="49"/>
        <v>0.50798439968971842</v>
      </c>
      <c r="AK530" s="734">
        <f t="shared" si="50"/>
        <v>0.47967085703019535</v>
      </c>
      <c r="AL530" s="1409">
        <f t="shared" si="51"/>
        <v>5.0500000000000001E-5</v>
      </c>
      <c r="AM530" s="1410"/>
      <c r="AN530" s="1424">
        <f t="shared" si="52"/>
        <v>5.3499999999999999E-5</v>
      </c>
      <c r="AO530" s="1425"/>
      <c r="AP530" s="558" t="str">
        <f t="shared" si="53"/>
        <v/>
      </c>
      <c r="AQ530" s="556">
        <f>SUM($AG$527:AG529)+(AG530/2)</f>
        <v>2.84</v>
      </c>
      <c r="AR530" s="29"/>
      <c r="AS530" s="871">
        <v>4</v>
      </c>
      <c r="AT530" s="871"/>
      <c r="AU530" s="863">
        <f t="shared" si="41"/>
        <v>4</v>
      </c>
      <c r="AV530" s="864"/>
      <c r="AX530" s="735">
        <f t="shared" si="54"/>
        <v>9500</v>
      </c>
      <c r="AY530" s="736">
        <f t="shared" si="55"/>
        <v>9500</v>
      </c>
      <c r="AZ530" s="20"/>
      <c r="BA530" s="20"/>
      <c r="BB530" s="20"/>
      <c r="BC530" s="21"/>
      <c r="BD530" s="21"/>
      <c r="BE530" s="21"/>
      <c r="BF530" s="21"/>
      <c r="BG530" s="21"/>
      <c r="BH530" s="20"/>
      <c r="BI530" s="20"/>
      <c r="BJ530" s="20"/>
      <c r="CH530" s="5"/>
    </row>
    <row r="531" spans="1:96" ht="14.25" customHeight="1">
      <c r="A531" s="136"/>
      <c r="B531" s="569">
        <f t="shared" si="56"/>
        <v>4</v>
      </c>
      <c r="C531" s="526" t="s">
        <v>35</v>
      </c>
      <c r="D531" s="572">
        <f t="shared" si="42"/>
        <v>5</v>
      </c>
      <c r="E531" s="909">
        <f t="shared" si="43"/>
        <v>1</v>
      </c>
      <c r="F531" s="909"/>
      <c r="G531" s="910">
        <f t="shared" si="44"/>
        <v>3.84</v>
      </c>
      <c r="H531" s="910"/>
      <c r="I531" s="910"/>
      <c r="J531" s="911">
        <f t="shared" si="45"/>
        <v>9000</v>
      </c>
      <c r="K531" s="912"/>
      <c r="L531" s="912"/>
      <c r="M531" s="906">
        <f t="shared" si="46"/>
        <v>0.37843922935663327</v>
      </c>
      <c r="N531" s="906"/>
      <c r="O531" s="907">
        <f t="shared" si="47"/>
        <v>4.1999999999999998E-5</v>
      </c>
      <c r="P531" s="907"/>
      <c r="Q531" s="908"/>
      <c r="S531" s="264"/>
      <c r="T531" s="264"/>
      <c r="U531" s="264"/>
      <c r="V531" s="264"/>
      <c r="X531" s="264"/>
      <c r="Y531" s="264"/>
      <c r="Z531" s="264"/>
      <c r="AD531" s="41">
        <f t="shared" si="57"/>
        <v>4</v>
      </c>
      <c r="AE531" s="341" t="str">
        <f t="shared" si="39"/>
        <v>~</v>
      </c>
      <c r="AF531" s="551">
        <f t="shared" si="48"/>
        <v>5</v>
      </c>
      <c r="AG531" s="1426">
        <f t="shared" si="58"/>
        <v>1</v>
      </c>
      <c r="AH531" s="1426"/>
      <c r="AI531" s="591">
        <f t="shared" si="40"/>
        <v>9000</v>
      </c>
      <c r="AJ531" s="604">
        <f t="shared" si="49"/>
        <v>0.60994411186699304</v>
      </c>
      <c r="AK531" s="734">
        <f t="shared" si="50"/>
        <v>0.37843922935663327</v>
      </c>
      <c r="AL531" s="1409">
        <f t="shared" si="51"/>
        <v>4.1999999999999998E-5</v>
      </c>
      <c r="AM531" s="1410"/>
      <c r="AN531" s="1424">
        <f t="shared" si="52"/>
        <v>6.7799999999999995E-5</v>
      </c>
      <c r="AO531" s="1425"/>
      <c r="AP531" s="558" t="str">
        <f t="shared" si="53"/>
        <v/>
      </c>
      <c r="AQ531" s="556">
        <f>SUM($AG$527:AG530)+(AG531/2)</f>
        <v>3.84</v>
      </c>
      <c r="AR531" s="29"/>
      <c r="AS531" s="871">
        <v>5</v>
      </c>
      <c r="AT531" s="871"/>
      <c r="AU531" s="863">
        <f t="shared" si="41"/>
        <v>3</v>
      </c>
      <c r="AV531" s="864"/>
      <c r="AX531" s="735">
        <f t="shared" si="54"/>
        <v>9000</v>
      </c>
      <c r="AY531" s="736">
        <f t="shared" si="55"/>
        <v>9000</v>
      </c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CH531" s="5"/>
    </row>
    <row r="532" spans="1:96" ht="14.25" customHeight="1">
      <c r="A532" s="136"/>
      <c r="B532" s="569">
        <f t="shared" si="56"/>
        <v>5</v>
      </c>
      <c r="C532" s="526" t="s">
        <v>35</v>
      </c>
      <c r="D532" s="572">
        <f t="shared" si="42"/>
        <v>6</v>
      </c>
      <c r="E532" s="909">
        <f t="shared" si="43"/>
        <v>1</v>
      </c>
      <c r="F532" s="909"/>
      <c r="G532" s="910">
        <f t="shared" si="44"/>
        <v>4.84</v>
      </c>
      <c r="H532" s="910"/>
      <c r="I532" s="910"/>
      <c r="J532" s="911">
        <f t="shared" si="45"/>
        <v>13000</v>
      </c>
      <c r="K532" s="912"/>
      <c r="L532" s="912"/>
      <c r="M532" s="906">
        <f t="shared" si="46"/>
        <v>0.27720760168307118</v>
      </c>
      <c r="N532" s="906"/>
      <c r="O532" s="907">
        <f t="shared" si="47"/>
        <v>2.1299999999999999E-5</v>
      </c>
      <c r="P532" s="907"/>
      <c r="Q532" s="908"/>
      <c r="S532" s="264"/>
      <c r="T532" s="264"/>
      <c r="U532" s="264"/>
      <c r="V532" s="264"/>
      <c r="X532" s="264"/>
      <c r="Y532" s="264"/>
      <c r="Z532" s="264"/>
      <c r="AD532" s="41">
        <f t="shared" si="57"/>
        <v>5</v>
      </c>
      <c r="AE532" s="341" t="str">
        <f t="shared" si="39"/>
        <v>~</v>
      </c>
      <c r="AF532" s="551">
        <f t="shared" si="48"/>
        <v>6</v>
      </c>
      <c r="AG532" s="1426">
        <f t="shared" si="58"/>
        <v>1</v>
      </c>
      <c r="AH532" s="1426"/>
      <c r="AI532" s="591">
        <f t="shared" si="40"/>
        <v>13000</v>
      </c>
      <c r="AJ532" s="604">
        <f t="shared" si="49"/>
        <v>0.5562518484984198</v>
      </c>
      <c r="AK532" s="734">
        <f t="shared" si="50"/>
        <v>0.27720760168307118</v>
      </c>
      <c r="AL532" s="1409">
        <f t="shared" si="51"/>
        <v>2.1299999999999999E-5</v>
      </c>
      <c r="AM532" s="1410"/>
      <c r="AN532" s="1424">
        <f t="shared" si="52"/>
        <v>4.2799999999999997E-5</v>
      </c>
      <c r="AO532" s="1425"/>
      <c r="AP532" s="558" t="str">
        <f t="shared" si="53"/>
        <v/>
      </c>
      <c r="AQ532" s="556">
        <f>SUM($AG$527:AG531)+(AG532/2)</f>
        <v>4.84</v>
      </c>
      <c r="AR532" s="29"/>
      <c r="AS532" s="871">
        <v>6</v>
      </c>
      <c r="AT532" s="871"/>
      <c r="AU532" s="863">
        <f t="shared" si="41"/>
        <v>11</v>
      </c>
      <c r="AV532" s="864"/>
      <c r="AX532" s="735">
        <f t="shared" si="54"/>
        <v>13000</v>
      </c>
      <c r="AY532" s="736">
        <f t="shared" si="55"/>
        <v>13000</v>
      </c>
      <c r="AZ532" s="20"/>
      <c r="BA532" s="20"/>
      <c r="BB532" s="20"/>
      <c r="BC532" s="21"/>
      <c r="BD532" s="21"/>
      <c r="BE532" s="21"/>
      <c r="BF532" s="21"/>
      <c r="BG532" s="21"/>
      <c r="BH532" s="20"/>
      <c r="BI532" s="20"/>
      <c r="BJ532" s="20"/>
      <c r="CH532" s="5"/>
    </row>
    <row r="533" spans="1:96" ht="14.25" customHeight="1">
      <c r="A533" s="136"/>
      <c r="B533" s="569">
        <f t="shared" si="56"/>
        <v>6</v>
      </c>
      <c r="C533" s="526" t="s">
        <v>35</v>
      </c>
      <c r="D533" s="572">
        <f t="shared" si="42"/>
        <v>7</v>
      </c>
      <c r="E533" s="909">
        <f t="shared" si="43"/>
        <v>1</v>
      </c>
      <c r="F533" s="909"/>
      <c r="G533" s="910">
        <f t="shared" si="44"/>
        <v>5.84</v>
      </c>
      <c r="H533" s="910"/>
      <c r="I533" s="910"/>
      <c r="J533" s="911">
        <f t="shared" si="45"/>
        <v>299600</v>
      </c>
      <c r="K533" s="912"/>
      <c r="L533" s="912"/>
      <c r="M533" s="906">
        <f t="shared" si="46"/>
        <v>0.17597597400950904</v>
      </c>
      <c r="N533" s="906"/>
      <c r="O533" s="907">
        <f t="shared" si="47"/>
        <v>5.9999999999999997E-7</v>
      </c>
      <c r="P533" s="907"/>
      <c r="Q533" s="908"/>
      <c r="S533" s="264"/>
      <c r="T533" s="264"/>
      <c r="U533" s="264"/>
      <c r="V533" s="264"/>
      <c r="X533" s="264"/>
      <c r="Y533" s="264"/>
      <c r="Z533" s="264"/>
      <c r="AD533" s="41">
        <f t="shared" si="57"/>
        <v>6</v>
      </c>
      <c r="AE533" s="341" t="str">
        <f t="shared" si="39"/>
        <v>~</v>
      </c>
      <c r="AF533" s="551">
        <f t="shared" si="48"/>
        <v>7</v>
      </c>
      <c r="AG533" s="1426">
        <f t="shared" si="58"/>
        <v>1</v>
      </c>
      <c r="AH533" s="1426"/>
      <c r="AI533" s="591">
        <f t="shared" si="40"/>
        <v>299600</v>
      </c>
      <c r="AJ533" s="604">
        <f t="shared" si="49"/>
        <v>0.50255958512984633</v>
      </c>
      <c r="AK533" s="734">
        <f t="shared" si="50"/>
        <v>0.17597597400950904</v>
      </c>
      <c r="AL533" s="1409">
        <f t="shared" si="51"/>
        <v>5.9999999999999997E-7</v>
      </c>
      <c r="AM533" s="1410"/>
      <c r="AN533" s="1424">
        <f t="shared" si="52"/>
        <v>1.7E-6</v>
      </c>
      <c r="AO533" s="1425"/>
      <c r="AP533" s="558" t="str">
        <f t="shared" si="53"/>
        <v/>
      </c>
      <c r="AQ533" s="556">
        <f>SUM($AG$527:AG532)+(AG533/2)</f>
        <v>5.84</v>
      </c>
      <c r="AR533" s="29"/>
      <c r="AS533" s="871">
        <v>7</v>
      </c>
      <c r="AT533" s="871"/>
      <c r="AU533" s="863">
        <f t="shared" si="41"/>
        <v>214</v>
      </c>
      <c r="AV533" s="864"/>
      <c r="AX533" s="735">
        <f t="shared" si="54"/>
        <v>299600</v>
      </c>
      <c r="AY533" s="736">
        <f t="shared" si="55"/>
        <v>299600</v>
      </c>
      <c r="AZ533" s="20"/>
      <c r="BA533" s="20"/>
      <c r="BB533" s="20"/>
      <c r="BC533" s="17"/>
      <c r="BD533" s="17"/>
      <c r="BE533" s="17"/>
      <c r="BF533" s="17"/>
      <c r="BG533" s="17"/>
      <c r="BH533" s="17"/>
      <c r="BI533" s="17"/>
      <c r="BJ533" s="17"/>
      <c r="CH533" s="5"/>
    </row>
    <row r="534" spans="1:96" ht="14.25" customHeight="1">
      <c r="A534" s="136"/>
      <c r="B534" s="569">
        <f t="shared" si="56"/>
        <v>7</v>
      </c>
      <c r="C534" s="526" t="s">
        <v>35</v>
      </c>
      <c r="D534" s="572">
        <f t="shared" si="42"/>
        <v>8</v>
      </c>
      <c r="E534" s="909">
        <f t="shared" si="43"/>
        <v>1</v>
      </c>
      <c r="F534" s="909"/>
      <c r="G534" s="910">
        <f t="shared" si="44"/>
        <v>6.84</v>
      </c>
      <c r="H534" s="910"/>
      <c r="I534" s="910"/>
      <c r="J534" s="911">
        <f t="shared" si="45"/>
        <v>525000</v>
      </c>
      <c r="K534" s="912"/>
      <c r="L534" s="912"/>
      <c r="M534" s="906">
        <f t="shared" si="46"/>
        <v>7.4744346335946954E-2</v>
      </c>
      <c r="N534" s="906"/>
      <c r="O534" s="907">
        <f t="shared" si="47"/>
        <v>9.9999999999999995E-8</v>
      </c>
      <c r="P534" s="907"/>
      <c r="Q534" s="908"/>
      <c r="S534" s="264"/>
      <c r="T534" s="264"/>
      <c r="U534" s="264"/>
      <c r="V534" s="264"/>
      <c r="X534" s="264"/>
      <c r="Y534" s="264"/>
      <c r="Z534" s="264"/>
      <c r="AD534" s="41">
        <f t="shared" si="57"/>
        <v>7</v>
      </c>
      <c r="AE534" s="341" t="str">
        <f t="shared" si="39"/>
        <v>~</v>
      </c>
      <c r="AF534" s="551">
        <f t="shared" si="48"/>
        <v>8</v>
      </c>
      <c r="AG534" s="1426">
        <f t="shared" si="58"/>
        <v>1</v>
      </c>
      <c r="AH534" s="1426"/>
      <c r="AI534" s="591">
        <f t="shared" si="40"/>
        <v>525000</v>
      </c>
      <c r="AJ534" s="604">
        <f t="shared" si="49"/>
        <v>0.44886732176127303</v>
      </c>
      <c r="AK534" s="734">
        <f t="shared" si="50"/>
        <v>7.4744346335946954E-2</v>
      </c>
      <c r="AL534" s="1409">
        <f t="shared" si="51"/>
        <v>9.9999999999999995E-8</v>
      </c>
      <c r="AM534" s="1410"/>
      <c r="AN534" s="1424">
        <f t="shared" si="52"/>
        <v>8.9999999999999996E-7</v>
      </c>
      <c r="AO534" s="1425"/>
      <c r="AP534" s="558" t="str">
        <f t="shared" si="53"/>
        <v/>
      </c>
      <c r="AQ534" s="556">
        <f>SUM($AG$527:AG533)+(AG534/2)</f>
        <v>6.84</v>
      </c>
      <c r="AR534" s="29"/>
      <c r="AS534" s="871">
        <v>8</v>
      </c>
      <c r="AT534" s="871"/>
      <c r="AU534" s="863">
        <f t="shared" si="41"/>
        <v>375</v>
      </c>
      <c r="AV534" s="864"/>
      <c r="AX534" s="735">
        <f t="shared" si="54"/>
        <v>525000</v>
      </c>
      <c r="AY534" s="736">
        <f t="shared" si="55"/>
        <v>525000</v>
      </c>
      <c r="AZ534" s="20"/>
      <c r="BA534" s="20"/>
      <c r="BB534" s="20"/>
      <c r="BC534" s="352"/>
      <c r="BD534" s="352"/>
      <c r="BE534" s="352"/>
      <c r="BF534" s="352"/>
      <c r="BG534" s="352"/>
      <c r="BH534" s="17"/>
      <c r="BI534" s="17"/>
      <c r="BJ534" s="17"/>
      <c r="CH534" s="5"/>
    </row>
    <row r="535" spans="1:96" ht="14.25" customHeight="1">
      <c r="A535" s="136"/>
      <c r="B535" s="569">
        <f t="shared" si="56"/>
        <v>8</v>
      </c>
      <c r="C535" s="526" t="s">
        <v>35</v>
      </c>
      <c r="D535" s="572">
        <f t="shared" si="42"/>
        <v>9</v>
      </c>
      <c r="E535" s="909">
        <f t="shared" si="43"/>
        <v>1</v>
      </c>
      <c r="F535" s="909"/>
      <c r="G535" s="910">
        <f t="shared" si="44"/>
        <v>7.84</v>
      </c>
      <c r="H535" s="910"/>
      <c r="I535" s="910"/>
      <c r="J535" s="911">
        <f t="shared" si="45"/>
        <v>700000.00000000012</v>
      </c>
      <c r="K535" s="912"/>
      <c r="L535" s="912"/>
      <c r="M535" s="906">
        <f t="shared" si="46"/>
        <v>-2.6487281337615132E-2</v>
      </c>
      <c r="N535" s="906"/>
      <c r="O535" s="907">
        <f t="shared" si="47"/>
        <v>0</v>
      </c>
      <c r="P535" s="907"/>
      <c r="Q535" s="908"/>
      <c r="S535" s="264"/>
      <c r="T535" s="264"/>
      <c r="U535" s="264"/>
      <c r="V535" s="264"/>
      <c r="X535" s="264"/>
      <c r="Y535" s="264"/>
      <c r="Z535" s="264"/>
      <c r="AD535" s="41">
        <f t="shared" si="57"/>
        <v>8</v>
      </c>
      <c r="AE535" s="341" t="str">
        <f t="shared" si="39"/>
        <v>~</v>
      </c>
      <c r="AF535" s="551">
        <f t="shared" si="48"/>
        <v>9</v>
      </c>
      <c r="AG535" s="1426">
        <f t="shared" si="58"/>
        <v>1</v>
      </c>
      <c r="AH535" s="1426"/>
      <c r="AI535" s="591">
        <f t="shared" si="40"/>
        <v>700000.00000000012</v>
      </c>
      <c r="AJ535" s="604">
        <f t="shared" si="49"/>
        <v>0.39517505839269973</v>
      </c>
      <c r="AK535" s="734">
        <f t="shared" si="50"/>
        <v>-2.6487281337615132E-2</v>
      </c>
      <c r="AL535" s="1409">
        <f t="shared" si="51"/>
        <v>0</v>
      </c>
      <c r="AM535" s="1410"/>
      <c r="AN535" s="1424">
        <f t="shared" si="52"/>
        <v>5.9999999999999997E-7</v>
      </c>
      <c r="AO535" s="1425"/>
      <c r="AP535" s="558" t="str">
        <f t="shared" si="53"/>
        <v/>
      </c>
      <c r="AQ535" s="556">
        <f>SUM($AG$527:AG534)+(AG535/2)</f>
        <v>7.84</v>
      </c>
      <c r="AR535" s="29"/>
      <c r="AS535" s="871">
        <v>9</v>
      </c>
      <c r="AT535" s="871"/>
      <c r="AU535" s="863">
        <f t="shared" si="41"/>
        <v>500.00000000000006</v>
      </c>
      <c r="AV535" s="864"/>
      <c r="AX535" s="735">
        <f t="shared" si="54"/>
        <v>700000.00000000012</v>
      </c>
      <c r="AY535" s="736">
        <f t="shared" si="55"/>
        <v>0</v>
      </c>
      <c r="AZ535" s="20"/>
      <c r="BA535" s="20"/>
      <c r="BB535" s="20"/>
      <c r="BC535" s="17"/>
      <c r="BD535" s="17"/>
      <c r="BE535" s="17"/>
      <c r="BF535" s="17"/>
      <c r="BG535" s="17"/>
      <c r="BH535" s="17"/>
      <c r="BI535" s="17"/>
      <c r="BJ535" s="17"/>
      <c r="CL535" s="5"/>
      <c r="CM535" s="5"/>
    </row>
    <row r="536" spans="1:96" ht="14.25" customHeight="1">
      <c r="A536" s="136"/>
      <c r="B536" s="569">
        <f t="shared" si="56"/>
        <v>9</v>
      </c>
      <c r="C536" s="526" t="s">
        <v>35</v>
      </c>
      <c r="D536" s="572">
        <f>+AF536</f>
        <v>10</v>
      </c>
      <c r="E536" s="909">
        <f t="shared" ref="E536" si="59">+D536-B536</f>
        <v>1</v>
      </c>
      <c r="F536" s="909"/>
      <c r="G536" s="910">
        <f>+AQ536</f>
        <v>8.84</v>
      </c>
      <c r="H536" s="910"/>
      <c r="I536" s="910"/>
      <c r="J536" s="911">
        <f t="shared" si="45"/>
        <v>700000.00000000012</v>
      </c>
      <c r="K536" s="912"/>
      <c r="L536" s="912"/>
      <c r="M536" s="906">
        <f t="shared" si="46"/>
        <v>-0.12771890901117722</v>
      </c>
      <c r="N536" s="906"/>
      <c r="O536" s="907">
        <f t="shared" ref="O536" si="60">IF(J536=0,0,IF(M536&lt;0,0,ROUND(M536*E536/J536,7)))</f>
        <v>0</v>
      </c>
      <c r="P536" s="907"/>
      <c r="Q536" s="908"/>
      <c r="S536" s="264"/>
      <c r="T536" s="264"/>
      <c r="U536" s="264"/>
      <c r="V536" s="264"/>
      <c r="X536" s="264"/>
      <c r="Y536" s="264"/>
      <c r="Z536" s="264"/>
      <c r="AD536" s="41">
        <f t="shared" si="57"/>
        <v>9</v>
      </c>
      <c r="AE536" s="341" t="str">
        <f t="shared" si="39"/>
        <v>~</v>
      </c>
      <c r="AF536" s="551">
        <f t="shared" si="48"/>
        <v>10</v>
      </c>
      <c r="AG536" s="1426">
        <f t="shared" si="58"/>
        <v>1</v>
      </c>
      <c r="AH536" s="1426"/>
      <c r="AI536" s="591">
        <f t="shared" si="40"/>
        <v>700000.00000000012</v>
      </c>
      <c r="AJ536" s="604">
        <f t="shared" si="49"/>
        <v>0.34148279502412637</v>
      </c>
      <c r="AK536" s="734">
        <f t="shared" si="50"/>
        <v>-0.12771890901117722</v>
      </c>
      <c r="AL536" s="1409">
        <f t="shared" si="51"/>
        <v>0</v>
      </c>
      <c r="AM536" s="1410"/>
      <c r="AN536" s="1424">
        <f t="shared" si="52"/>
        <v>4.9999999999999998E-7</v>
      </c>
      <c r="AO536" s="1425"/>
      <c r="AP536" s="558" t="str">
        <f t="shared" si="53"/>
        <v/>
      </c>
      <c r="AQ536" s="556">
        <f>SUM($AG$527:AG535)+(AG536/2)</f>
        <v>8.84</v>
      </c>
      <c r="AR536" s="29"/>
      <c r="AS536" s="871">
        <v>10</v>
      </c>
      <c r="AT536" s="871"/>
      <c r="AU536" s="863">
        <f t="shared" si="41"/>
        <v>500.00000000000006</v>
      </c>
      <c r="AV536" s="864"/>
      <c r="AX536" s="735">
        <f t="shared" si="54"/>
        <v>700000.00000000012</v>
      </c>
      <c r="AY536" s="736">
        <f t="shared" si="55"/>
        <v>0</v>
      </c>
      <c r="AZ536" s="20"/>
      <c r="BA536" s="20"/>
      <c r="BB536" s="20"/>
      <c r="BC536" s="17"/>
      <c r="BD536" s="17"/>
      <c r="BE536" s="17"/>
      <c r="BF536" s="17"/>
      <c r="BG536" s="17"/>
      <c r="BH536" s="17"/>
      <c r="BI536" s="17"/>
      <c r="BJ536" s="17"/>
      <c r="CK536" s="5"/>
      <c r="CL536" s="5"/>
      <c r="CM536" s="5"/>
    </row>
    <row r="537" spans="1:96" ht="14.25" customHeight="1">
      <c r="A537" s="136"/>
      <c r="B537" s="569"/>
      <c r="C537" s="526"/>
      <c r="D537" s="572"/>
      <c r="E537" s="909"/>
      <c r="F537" s="909"/>
      <c r="G537" s="910"/>
      <c r="H537" s="910"/>
      <c r="I537" s="910"/>
      <c r="J537" s="911"/>
      <c r="K537" s="912"/>
      <c r="L537" s="912"/>
      <c r="M537" s="906"/>
      <c r="N537" s="906"/>
      <c r="O537" s="907"/>
      <c r="P537" s="907"/>
      <c r="Q537" s="908"/>
      <c r="S537" s="264"/>
      <c r="T537" s="264"/>
      <c r="U537" s="264"/>
      <c r="V537" s="264"/>
      <c r="X537" s="264"/>
      <c r="Y537" s="264"/>
      <c r="Z537" s="264"/>
      <c r="AD537" s="41">
        <f t="shared" si="57"/>
        <v>10</v>
      </c>
      <c r="AE537" s="341" t="str">
        <f t="shared" si="39"/>
        <v>~</v>
      </c>
      <c r="AF537" s="551">
        <f t="shared" si="48"/>
        <v>11</v>
      </c>
      <c r="AG537" s="1426">
        <f t="shared" si="58"/>
        <v>1</v>
      </c>
      <c r="AH537" s="1426"/>
      <c r="AI537" s="591">
        <f t="shared" si="40"/>
        <v>1050000</v>
      </c>
      <c r="AJ537" s="604">
        <f t="shared" si="49"/>
        <v>0.28779053165555302</v>
      </c>
      <c r="AK537" s="734">
        <f t="shared" si="50"/>
        <v>-0.2289505366847393</v>
      </c>
      <c r="AL537" s="1409">
        <f t="shared" si="51"/>
        <v>0</v>
      </c>
      <c r="AM537" s="1410"/>
      <c r="AN537" s="1424">
        <f t="shared" si="52"/>
        <v>2.9999999999999999E-7</v>
      </c>
      <c r="AO537" s="1425"/>
      <c r="AP537" s="558" t="str">
        <f t="shared" si="53"/>
        <v/>
      </c>
      <c r="AQ537" s="556">
        <f>SUM($AG$527:AG536)+(AG537/2)</f>
        <v>9.84</v>
      </c>
      <c r="AR537" s="44"/>
      <c r="AS537" s="871">
        <v>11</v>
      </c>
      <c r="AT537" s="871"/>
      <c r="AU537" s="863">
        <f t="shared" si="41"/>
        <v>750</v>
      </c>
      <c r="AV537" s="864"/>
      <c r="AX537" s="735">
        <f t="shared" si="54"/>
        <v>1050000</v>
      </c>
      <c r="AY537" s="736">
        <f t="shared" si="55"/>
        <v>0</v>
      </c>
      <c r="AZ537" s="20"/>
      <c r="BA537" s="20"/>
      <c r="BB537" s="20"/>
      <c r="BC537" s="17"/>
      <c r="BD537" s="17"/>
      <c r="BE537" s="17"/>
      <c r="BF537" s="17"/>
      <c r="BG537" s="17"/>
      <c r="BH537" s="17"/>
      <c r="BI537" s="17"/>
      <c r="BJ537" s="17"/>
      <c r="CK537" s="5"/>
      <c r="CL537" s="5"/>
      <c r="CM537" s="5"/>
      <c r="CN537" s="5"/>
    </row>
    <row r="538" spans="1:96" ht="14.25" customHeight="1">
      <c r="A538" s="136"/>
      <c r="B538" s="569"/>
      <c r="C538" s="526"/>
      <c r="D538" s="572"/>
      <c r="E538" s="909"/>
      <c r="F538" s="909"/>
      <c r="G538" s="910"/>
      <c r="H538" s="910"/>
      <c r="I538" s="910"/>
      <c r="J538" s="911"/>
      <c r="K538" s="912"/>
      <c r="L538" s="912"/>
      <c r="M538" s="906"/>
      <c r="N538" s="906"/>
      <c r="O538" s="907"/>
      <c r="P538" s="907"/>
      <c r="Q538" s="908"/>
      <c r="S538" s="264"/>
      <c r="T538" s="264"/>
      <c r="U538" s="264"/>
      <c r="V538" s="264"/>
      <c r="X538" s="264"/>
      <c r="Y538" s="264"/>
      <c r="Z538" s="264"/>
      <c r="AD538" s="41">
        <f t="shared" si="57"/>
        <v>11</v>
      </c>
      <c r="AE538" s="341" t="str">
        <f t="shared" si="39"/>
        <v>~</v>
      </c>
      <c r="AF538" s="551">
        <f t="shared" si="48"/>
        <v>12</v>
      </c>
      <c r="AG538" s="1426">
        <f t="shared" si="58"/>
        <v>1</v>
      </c>
      <c r="AH538" s="1426"/>
      <c r="AI538" s="591">
        <f t="shared" si="40"/>
        <v>1050000</v>
      </c>
      <c r="AJ538" s="604">
        <f t="shared" si="49"/>
        <v>0.23409826828697966</v>
      </c>
      <c r="AK538" s="734">
        <f t="shared" si="50"/>
        <v>-0.33018216435830139</v>
      </c>
      <c r="AL538" s="1409">
        <f t="shared" si="51"/>
        <v>0</v>
      </c>
      <c r="AM538" s="1410"/>
      <c r="AN538" s="1424">
        <f t="shared" si="52"/>
        <v>1.9999999999999999E-7</v>
      </c>
      <c r="AO538" s="1425"/>
      <c r="AP538" s="558" t="str">
        <f t="shared" si="53"/>
        <v/>
      </c>
      <c r="AQ538" s="556">
        <f>SUM($AG$527:AG537)+(AG538/2)</f>
        <v>10.84</v>
      </c>
      <c r="AR538" s="52"/>
      <c r="AS538" s="871">
        <v>12</v>
      </c>
      <c r="AT538" s="871"/>
      <c r="AU538" s="863">
        <f t="shared" si="41"/>
        <v>750</v>
      </c>
      <c r="AV538" s="864"/>
      <c r="AX538" s="735">
        <f t="shared" si="54"/>
        <v>1050000</v>
      </c>
      <c r="AY538" s="736">
        <f t="shared" si="55"/>
        <v>0</v>
      </c>
      <c r="AZ538" s="20"/>
      <c r="BA538" s="20"/>
      <c r="BB538" s="20"/>
      <c r="BC538" s="17"/>
      <c r="BD538" s="17"/>
      <c r="BE538" s="17"/>
      <c r="BF538" s="17"/>
      <c r="BG538" s="17"/>
      <c r="BH538" s="17"/>
      <c r="BI538" s="17"/>
      <c r="BJ538" s="17"/>
      <c r="CK538" s="5"/>
      <c r="CL538" s="5"/>
      <c r="CM538" s="5"/>
      <c r="CN538" s="5"/>
    </row>
    <row r="539" spans="1:96" ht="14.25" customHeight="1">
      <c r="A539" s="136"/>
      <c r="B539" s="569"/>
      <c r="C539" s="526"/>
      <c r="D539" s="572"/>
      <c r="E539" s="909"/>
      <c r="F539" s="909"/>
      <c r="G539" s="910"/>
      <c r="H539" s="910"/>
      <c r="I539" s="910"/>
      <c r="J539" s="911"/>
      <c r="K539" s="912"/>
      <c r="L539" s="912"/>
      <c r="M539" s="906"/>
      <c r="N539" s="906"/>
      <c r="O539" s="907"/>
      <c r="P539" s="907"/>
      <c r="Q539" s="908"/>
      <c r="S539" s="264"/>
      <c r="T539" s="264"/>
      <c r="U539" s="264"/>
      <c r="V539" s="264"/>
      <c r="X539" s="264"/>
      <c r="Y539" s="264"/>
      <c r="Z539" s="264"/>
      <c r="AD539" s="41">
        <f t="shared" si="57"/>
        <v>12</v>
      </c>
      <c r="AE539" s="341" t="str">
        <f t="shared" si="39"/>
        <v>~</v>
      </c>
      <c r="AF539" s="551">
        <f t="shared" si="48"/>
        <v>13</v>
      </c>
      <c r="AG539" s="1426">
        <f t="shared" si="58"/>
        <v>1</v>
      </c>
      <c r="AH539" s="1426"/>
      <c r="AI539" s="591">
        <f t="shared" si="40"/>
        <v>1050000</v>
      </c>
      <c r="AJ539" s="604">
        <f t="shared" si="49"/>
        <v>0.18040600491840642</v>
      </c>
      <c r="AK539" s="734">
        <f t="shared" si="50"/>
        <v>-0.43141379203186347</v>
      </c>
      <c r="AL539" s="1409">
        <f t="shared" si="51"/>
        <v>0</v>
      </c>
      <c r="AM539" s="1410"/>
      <c r="AN539" s="1424">
        <f t="shared" si="52"/>
        <v>1.9999999999999999E-7</v>
      </c>
      <c r="AO539" s="1425"/>
      <c r="AP539" s="558" t="str">
        <f t="shared" si="53"/>
        <v/>
      </c>
      <c r="AQ539" s="556">
        <f>SUM($AG$527:AG538)+(AG539/2)</f>
        <v>11.84</v>
      </c>
      <c r="AR539" s="57"/>
      <c r="AS539" s="871">
        <v>13</v>
      </c>
      <c r="AT539" s="871"/>
      <c r="AU539" s="863">
        <f t="shared" si="41"/>
        <v>750</v>
      </c>
      <c r="AV539" s="864"/>
      <c r="AX539" s="735">
        <f t="shared" si="54"/>
        <v>1050000</v>
      </c>
      <c r="AY539" s="736">
        <f t="shared" si="55"/>
        <v>0</v>
      </c>
      <c r="AZ539" s="20"/>
      <c r="BA539" s="20"/>
      <c r="BB539" s="20"/>
      <c r="BC539" s="352"/>
      <c r="BD539" s="352"/>
      <c r="BE539" s="352"/>
      <c r="BF539" s="352"/>
      <c r="BG539" s="352"/>
      <c r="BH539" s="17"/>
      <c r="BI539" s="17"/>
      <c r="BJ539" s="17"/>
      <c r="CK539" s="5"/>
      <c r="CL539" s="5"/>
      <c r="CM539" s="5"/>
      <c r="CN539" s="5"/>
      <c r="CO539" s="5"/>
    </row>
    <row r="540" spans="1:96" s="5" customFormat="1" ht="14.25" customHeight="1">
      <c r="A540" s="136"/>
      <c r="B540" s="569"/>
      <c r="C540" s="526"/>
      <c r="D540" s="572"/>
      <c r="E540" s="909"/>
      <c r="F540" s="909"/>
      <c r="G540" s="910"/>
      <c r="H540" s="910"/>
      <c r="I540" s="910"/>
      <c r="J540" s="911"/>
      <c r="K540" s="912"/>
      <c r="L540" s="912"/>
      <c r="M540" s="906"/>
      <c r="N540" s="906"/>
      <c r="O540" s="907"/>
      <c r="P540" s="907"/>
      <c r="Q540" s="908"/>
      <c r="R540" s="3"/>
      <c r="S540" s="264"/>
      <c r="T540" s="264"/>
      <c r="U540" s="264"/>
      <c r="V540" s="264"/>
      <c r="W540" s="3"/>
      <c r="X540" s="264"/>
      <c r="Y540" s="264"/>
      <c r="Z540" s="264"/>
      <c r="AA540" s="3"/>
      <c r="AB540" s="3"/>
      <c r="AC540" s="3"/>
      <c r="AD540" s="41">
        <f t="shared" si="57"/>
        <v>13</v>
      </c>
      <c r="AE540" s="341" t="str">
        <f t="shared" si="39"/>
        <v>~</v>
      </c>
      <c r="AF540" s="551">
        <f t="shared" si="48"/>
        <v>14</v>
      </c>
      <c r="AG540" s="1426">
        <f t="shared" si="58"/>
        <v>1</v>
      </c>
      <c r="AH540" s="1426"/>
      <c r="AI540" s="591">
        <f t="shared" si="40"/>
        <v>1050000</v>
      </c>
      <c r="AJ540" s="604">
        <f t="shared" si="49"/>
        <v>0.12671374154983306</v>
      </c>
      <c r="AK540" s="734">
        <f t="shared" si="50"/>
        <v>-0.53264541970542556</v>
      </c>
      <c r="AL540" s="1409">
        <f t="shared" si="51"/>
        <v>0</v>
      </c>
      <c r="AM540" s="1410"/>
      <c r="AN540" s="1424">
        <f t="shared" si="52"/>
        <v>9.9999999999999995E-8</v>
      </c>
      <c r="AO540" s="1425"/>
      <c r="AP540" s="558" t="str">
        <f t="shared" si="53"/>
        <v/>
      </c>
      <c r="AQ540" s="556">
        <f>SUM($AG$527:AG539)+(AG540/2)</f>
        <v>12.84</v>
      </c>
      <c r="AR540" s="57"/>
      <c r="AS540" s="871">
        <v>14</v>
      </c>
      <c r="AT540" s="871"/>
      <c r="AU540" s="863">
        <f t="shared" si="41"/>
        <v>750</v>
      </c>
      <c r="AV540" s="864"/>
      <c r="AW540" s="3"/>
      <c r="AX540" s="735">
        <f t="shared" si="54"/>
        <v>1050000</v>
      </c>
      <c r="AY540" s="736">
        <f t="shared" si="55"/>
        <v>0</v>
      </c>
      <c r="AZ540" s="20"/>
      <c r="BA540" s="20"/>
      <c r="BB540" s="20"/>
      <c r="BC540" s="17"/>
      <c r="BD540" s="17"/>
      <c r="BE540" s="17"/>
      <c r="BF540" s="17"/>
      <c r="BG540" s="17"/>
      <c r="BH540" s="17"/>
      <c r="BI540" s="17"/>
      <c r="BJ540" s="17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J540" s="3"/>
      <c r="CQ540" s="3"/>
      <c r="CR540" s="3"/>
    </row>
    <row r="541" spans="1:96" s="5" customFormat="1" ht="14.25" customHeight="1">
      <c r="A541" s="136"/>
      <c r="B541" s="569"/>
      <c r="C541" s="526"/>
      <c r="D541" s="572"/>
      <c r="E541" s="909"/>
      <c r="F541" s="909"/>
      <c r="G541" s="910"/>
      <c r="H541" s="910"/>
      <c r="I541" s="910"/>
      <c r="J541" s="911"/>
      <c r="K541" s="912"/>
      <c r="L541" s="912"/>
      <c r="M541" s="906"/>
      <c r="N541" s="906"/>
      <c r="O541" s="907"/>
      <c r="P541" s="907"/>
      <c r="Q541" s="908"/>
      <c r="R541" s="3"/>
      <c r="S541" s="264"/>
      <c r="T541" s="264"/>
      <c r="U541" s="264"/>
      <c r="V541" s="264"/>
      <c r="W541" s="3"/>
      <c r="X541" s="264"/>
      <c r="Y541" s="264"/>
      <c r="Z541" s="264"/>
      <c r="AA541" s="3"/>
      <c r="AB541" s="3"/>
      <c r="AC541" s="3"/>
      <c r="AD541" s="41">
        <f t="shared" si="57"/>
        <v>14</v>
      </c>
      <c r="AE541" s="341" t="str">
        <f t="shared" si="39"/>
        <v>~</v>
      </c>
      <c r="AF541" s="551">
        <f t="shared" si="48"/>
        <v>15</v>
      </c>
      <c r="AG541" s="1426">
        <f t="shared" si="58"/>
        <v>1</v>
      </c>
      <c r="AH541" s="1426"/>
      <c r="AI541" s="591">
        <f t="shared" si="40"/>
        <v>1050000</v>
      </c>
      <c r="AJ541" s="604">
        <f t="shared" si="49"/>
        <v>7.3021478181259702E-2</v>
      </c>
      <c r="AK541" s="734">
        <f t="shared" si="50"/>
        <v>-0.63387704737898765</v>
      </c>
      <c r="AL541" s="1409">
        <f t="shared" si="51"/>
        <v>0</v>
      </c>
      <c r="AM541" s="1410"/>
      <c r="AN541" s="1424">
        <f t="shared" si="52"/>
        <v>9.9999999999999995E-8</v>
      </c>
      <c r="AO541" s="1425"/>
      <c r="AP541" s="558" t="str">
        <f t="shared" si="53"/>
        <v/>
      </c>
      <c r="AQ541" s="556">
        <f>SUM($AG$527:AG540)+(AG541/2)</f>
        <v>13.84</v>
      </c>
      <c r="AR541" s="57"/>
      <c r="AS541" s="871">
        <v>15</v>
      </c>
      <c r="AT541" s="871"/>
      <c r="AU541" s="863">
        <f t="shared" si="41"/>
        <v>750</v>
      </c>
      <c r="AV541" s="864"/>
      <c r="AW541" s="3"/>
      <c r="AX541" s="735">
        <f t="shared" si="54"/>
        <v>1050000</v>
      </c>
      <c r="AY541" s="736">
        <f t="shared" si="55"/>
        <v>0</v>
      </c>
      <c r="AZ541" s="20"/>
      <c r="BA541" s="20"/>
      <c r="BB541" s="20"/>
      <c r="BC541" s="17"/>
      <c r="BD541" s="17"/>
      <c r="BE541" s="17"/>
      <c r="BF541" s="17"/>
      <c r="BG541" s="17"/>
      <c r="BH541" s="17"/>
      <c r="BI541" s="17"/>
      <c r="BJ541" s="17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D541" s="3"/>
      <c r="CE541" s="3"/>
      <c r="CF541" s="3"/>
      <c r="CG541" s="3"/>
      <c r="CJ541" s="3"/>
    </row>
    <row r="542" spans="1:96" s="5" customFormat="1" ht="14.25" customHeight="1">
      <c r="A542" s="136"/>
      <c r="B542" s="569"/>
      <c r="C542" s="526"/>
      <c r="D542" s="572"/>
      <c r="E542" s="909"/>
      <c r="F542" s="909"/>
      <c r="G542" s="910"/>
      <c r="H542" s="910"/>
      <c r="I542" s="910"/>
      <c r="J542" s="911"/>
      <c r="K542" s="912"/>
      <c r="L542" s="912"/>
      <c r="M542" s="906"/>
      <c r="N542" s="906"/>
      <c r="O542" s="907"/>
      <c r="P542" s="907"/>
      <c r="Q542" s="908"/>
      <c r="R542" s="3"/>
      <c r="S542" s="264"/>
      <c r="T542" s="264"/>
      <c r="U542" s="264"/>
      <c r="V542" s="264"/>
      <c r="W542" s="3"/>
      <c r="X542" s="264"/>
      <c r="Y542" s="264"/>
      <c r="Z542" s="264"/>
      <c r="AA542" s="3"/>
      <c r="AB542" s="3"/>
      <c r="AC542" s="3"/>
      <c r="AD542" s="41">
        <f t="shared" si="57"/>
        <v>15</v>
      </c>
      <c r="AE542" s="341" t="str">
        <f t="shared" si="39"/>
        <v>~</v>
      </c>
      <c r="AF542" s="551">
        <f t="shared" si="48"/>
        <v>16</v>
      </c>
      <c r="AG542" s="1426">
        <f t="shared" si="58"/>
        <v>1</v>
      </c>
      <c r="AH542" s="1426"/>
      <c r="AI542" s="591">
        <f t="shared" si="40"/>
        <v>1050000</v>
      </c>
      <c r="AJ542" s="604">
        <f t="shared" si="49"/>
        <v>1.9329214812686346E-2</v>
      </c>
      <c r="AK542" s="734">
        <f t="shared" si="50"/>
        <v>-0.73510867505254973</v>
      </c>
      <c r="AL542" s="1409">
        <f t="shared" si="51"/>
        <v>0</v>
      </c>
      <c r="AM542" s="1410"/>
      <c r="AN542" s="1424">
        <f t="shared" si="52"/>
        <v>0</v>
      </c>
      <c r="AO542" s="1425"/>
      <c r="AP542" s="558" t="str">
        <f t="shared" si="53"/>
        <v/>
      </c>
      <c r="AQ542" s="556">
        <f>SUM($AG$527:AG541)+(AG542/2)</f>
        <v>14.84</v>
      </c>
      <c r="AR542" s="57"/>
      <c r="AS542" s="871">
        <v>16</v>
      </c>
      <c r="AT542" s="871"/>
      <c r="AU542" s="863">
        <f t="shared" si="41"/>
        <v>750</v>
      </c>
      <c r="AV542" s="864"/>
      <c r="AW542" s="3"/>
      <c r="AX542" s="735">
        <f t="shared" si="54"/>
        <v>1050000</v>
      </c>
      <c r="AY542" s="736">
        <f t="shared" si="55"/>
        <v>0</v>
      </c>
      <c r="AZ542" s="20"/>
      <c r="BA542" s="20"/>
      <c r="BB542" s="20"/>
      <c r="BC542" s="17"/>
      <c r="BD542" s="17"/>
      <c r="BE542" s="17"/>
      <c r="BF542" s="17"/>
      <c r="BG542" s="17"/>
      <c r="BH542" s="17"/>
      <c r="BI542" s="17"/>
      <c r="BJ542" s="17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D542" s="3"/>
      <c r="CE542" s="3"/>
      <c r="CF542" s="3"/>
      <c r="CG542" s="3"/>
      <c r="CJ542" s="3"/>
    </row>
    <row r="543" spans="1:96" s="5" customFormat="1" ht="14.25" customHeight="1">
      <c r="A543" s="136"/>
      <c r="B543" s="569"/>
      <c r="C543" s="526"/>
      <c r="D543" s="572"/>
      <c r="E543" s="909"/>
      <c r="F543" s="909"/>
      <c r="G543" s="910"/>
      <c r="H543" s="910"/>
      <c r="I543" s="910"/>
      <c r="J543" s="911"/>
      <c r="K543" s="912"/>
      <c r="L543" s="912"/>
      <c r="M543" s="906"/>
      <c r="N543" s="906"/>
      <c r="O543" s="907"/>
      <c r="P543" s="907"/>
      <c r="Q543" s="908"/>
      <c r="R543" s="3"/>
      <c r="S543" s="264"/>
      <c r="T543" s="264"/>
      <c r="U543" s="264"/>
      <c r="V543" s="264"/>
      <c r="W543" s="3"/>
      <c r="X543" s="264"/>
      <c r="Y543" s="264"/>
      <c r="Z543" s="264"/>
      <c r="AA543" s="3"/>
      <c r="AB543" s="3"/>
      <c r="AC543" s="3"/>
      <c r="AD543" s="41">
        <f t="shared" si="57"/>
        <v>16</v>
      </c>
      <c r="AE543" s="341" t="str">
        <f t="shared" si="39"/>
        <v>~</v>
      </c>
      <c r="AF543" s="551">
        <f t="shared" si="48"/>
        <v>17</v>
      </c>
      <c r="AG543" s="1426">
        <f t="shared" si="58"/>
        <v>1</v>
      </c>
      <c r="AH543" s="1426"/>
      <c r="AI543" s="591">
        <f t="shared" si="40"/>
        <v>1050000</v>
      </c>
      <c r="AJ543" s="604">
        <f t="shared" si="49"/>
        <v>-3.436304855588701E-2</v>
      </c>
      <c r="AK543" s="734">
        <f t="shared" si="50"/>
        <v>-0.83634030272611182</v>
      </c>
      <c r="AL543" s="1409">
        <f t="shared" si="51"/>
        <v>0</v>
      </c>
      <c r="AM543" s="1410"/>
      <c r="AN543" s="1424">
        <f t="shared" si="52"/>
        <v>0</v>
      </c>
      <c r="AO543" s="1425"/>
      <c r="AP543" s="558" t="str">
        <f t="shared" si="53"/>
        <v/>
      </c>
      <c r="AQ543" s="556">
        <f>SUM($AG$527:AG542)+(AG543/2)</f>
        <v>15.84</v>
      </c>
      <c r="AR543" s="57"/>
      <c r="AS543" s="871">
        <v>17</v>
      </c>
      <c r="AT543" s="871"/>
      <c r="AU543" s="863">
        <f t="shared" si="41"/>
        <v>750</v>
      </c>
      <c r="AV543" s="864"/>
      <c r="AW543" s="3"/>
      <c r="AX543" s="735">
        <f t="shared" si="54"/>
        <v>0</v>
      </c>
      <c r="AY543" s="736">
        <f t="shared" si="55"/>
        <v>0</v>
      </c>
      <c r="AZ543" s="20"/>
      <c r="BA543" s="20"/>
      <c r="BB543" s="20"/>
      <c r="BC543" s="17"/>
      <c r="BD543" s="17"/>
      <c r="BE543" s="17"/>
      <c r="BF543" s="17"/>
      <c r="BG543" s="17"/>
      <c r="BH543" s="17"/>
      <c r="BI543" s="17"/>
      <c r="BJ543" s="17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CD543" s="3"/>
      <c r="CE543" s="3"/>
      <c r="CF543" s="3"/>
      <c r="CG543" s="3"/>
      <c r="CJ543" s="3"/>
    </row>
    <row r="544" spans="1:96" s="5" customFormat="1" ht="14.25" customHeight="1">
      <c r="A544" s="136"/>
      <c r="B544" s="569"/>
      <c r="C544" s="526"/>
      <c r="D544" s="572"/>
      <c r="E544" s="909"/>
      <c r="F544" s="909"/>
      <c r="G544" s="910"/>
      <c r="H544" s="910"/>
      <c r="I544" s="910"/>
      <c r="J544" s="911"/>
      <c r="K544" s="912"/>
      <c r="L544" s="912"/>
      <c r="M544" s="906"/>
      <c r="N544" s="906"/>
      <c r="O544" s="907"/>
      <c r="P544" s="907"/>
      <c r="Q544" s="908"/>
      <c r="R544" s="3"/>
      <c r="S544" s="264"/>
      <c r="T544" s="264"/>
      <c r="U544" s="264"/>
      <c r="V544" s="264"/>
      <c r="W544" s="3"/>
      <c r="X544" s="264"/>
      <c r="Y544" s="264"/>
      <c r="Z544" s="264"/>
      <c r="AA544" s="3"/>
      <c r="AB544" s="3"/>
      <c r="AC544" s="3"/>
      <c r="AD544" s="41">
        <f t="shared" si="57"/>
        <v>17</v>
      </c>
      <c r="AE544" s="341" t="str">
        <f t="shared" si="39"/>
        <v>~</v>
      </c>
      <c r="AF544" s="551">
        <f t="shared" si="48"/>
        <v>18</v>
      </c>
      <c r="AG544" s="1426">
        <f t="shared" si="58"/>
        <v>1</v>
      </c>
      <c r="AH544" s="1426"/>
      <c r="AI544" s="591">
        <f t="shared" si="40"/>
        <v>1050000</v>
      </c>
      <c r="AJ544" s="604">
        <f t="shared" si="49"/>
        <v>-8.8055311924460256E-2</v>
      </c>
      <c r="AK544" s="734">
        <f t="shared" si="50"/>
        <v>-0.9375719303996739</v>
      </c>
      <c r="AL544" s="1409">
        <f t="shared" si="51"/>
        <v>0</v>
      </c>
      <c r="AM544" s="1410"/>
      <c r="AN544" s="1424">
        <f t="shared" si="52"/>
        <v>0</v>
      </c>
      <c r="AO544" s="1425"/>
      <c r="AP544" s="558" t="str">
        <f t="shared" si="53"/>
        <v/>
      </c>
      <c r="AQ544" s="556">
        <f>SUM($AG$527:AG543)+(AG544/2)</f>
        <v>16.84</v>
      </c>
      <c r="AR544" s="57"/>
      <c r="AS544" s="871">
        <v>18</v>
      </c>
      <c r="AT544" s="871"/>
      <c r="AU544" s="863">
        <f t="shared" si="41"/>
        <v>750</v>
      </c>
      <c r="AV544" s="864"/>
      <c r="AW544" s="3"/>
      <c r="AX544" s="735">
        <f t="shared" si="54"/>
        <v>0</v>
      </c>
      <c r="AY544" s="736">
        <f t="shared" si="55"/>
        <v>0</v>
      </c>
      <c r="AZ544" s="20"/>
      <c r="BA544" s="20"/>
      <c r="BB544" s="20"/>
      <c r="BC544" s="17"/>
      <c r="BD544" s="17"/>
      <c r="BE544" s="17"/>
      <c r="BF544" s="17"/>
      <c r="BG544" s="17"/>
      <c r="BH544" s="17"/>
      <c r="BI544" s="17"/>
      <c r="BJ544" s="17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CD544" s="3"/>
      <c r="CE544" s="3"/>
      <c r="CF544" s="3"/>
      <c r="CG544" s="3"/>
      <c r="CJ544" s="3"/>
    </row>
    <row r="545" spans="1:96" s="5" customFormat="1" ht="14.25" customHeight="1">
      <c r="A545" s="136"/>
      <c r="B545" s="569"/>
      <c r="C545" s="526"/>
      <c r="D545" s="572"/>
      <c r="E545" s="909"/>
      <c r="F545" s="909"/>
      <c r="G545" s="910"/>
      <c r="H545" s="910"/>
      <c r="I545" s="910"/>
      <c r="J545" s="911"/>
      <c r="K545" s="912"/>
      <c r="L545" s="912"/>
      <c r="M545" s="906"/>
      <c r="N545" s="906"/>
      <c r="O545" s="907"/>
      <c r="P545" s="907"/>
      <c r="Q545" s="908"/>
      <c r="R545" s="3"/>
      <c r="S545" s="264"/>
      <c r="T545" s="264"/>
      <c r="U545" s="264"/>
      <c r="V545" s="264"/>
      <c r="W545" s="3"/>
      <c r="X545" s="264"/>
      <c r="Y545" s="264"/>
      <c r="Z545" s="264"/>
      <c r="AA545" s="3"/>
      <c r="AB545" s="3"/>
      <c r="AC545" s="3"/>
      <c r="AD545" s="41">
        <f t="shared" si="57"/>
        <v>18</v>
      </c>
      <c r="AE545" s="341" t="str">
        <f t="shared" si="39"/>
        <v>~</v>
      </c>
      <c r="AF545" s="551">
        <f t="shared" si="48"/>
        <v>19</v>
      </c>
      <c r="AG545" s="1426">
        <f t="shared" si="58"/>
        <v>1</v>
      </c>
      <c r="AH545" s="1426"/>
      <c r="AI545" s="591">
        <f t="shared" si="40"/>
        <v>1050000</v>
      </c>
      <c r="AJ545" s="604">
        <f t="shared" si="49"/>
        <v>-0.14174757529303361</v>
      </c>
      <c r="AK545" s="734">
        <f t="shared" si="50"/>
        <v>-1.038803558073236</v>
      </c>
      <c r="AL545" s="1409">
        <f t="shared" si="51"/>
        <v>0</v>
      </c>
      <c r="AM545" s="1410"/>
      <c r="AN545" s="1424">
        <f t="shared" si="52"/>
        <v>0</v>
      </c>
      <c r="AO545" s="1425"/>
      <c r="AP545" s="558" t="str">
        <f t="shared" si="53"/>
        <v/>
      </c>
      <c r="AQ545" s="556">
        <f>SUM($AG$527:AG544)+(AG545/2)</f>
        <v>17.84</v>
      </c>
      <c r="AR545" s="57"/>
      <c r="AS545" s="871">
        <v>19</v>
      </c>
      <c r="AT545" s="871"/>
      <c r="AU545" s="863">
        <f t="shared" si="41"/>
        <v>750</v>
      </c>
      <c r="AV545" s="864"/>
      <c r="AW545" s="3"/>
      <c r="AX545" s="735">
        <f t="shared" si="54"/>
        <v>0</v>
      </c>
      <c r="AY545" s="736">
        <f t="shared" si="55"/>
        <v>0</v>
      </c>
      <c r="AZ545" s="3"/>
      <c r="BA545" s="3"/>
      <c r="BB545" s="3"/>
      <c r="BC545" s="3"/>
      <c r="BD545" s="3"/>
      <c r="BE545" s="3"/>
      <c r="BF545" s="3"/>
      <c r="BG545" s="3"/>
      <c r="BH545" s="15"/>
      <c r="BI545" s="15"/>
      <c r="BJ545" s="15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CD545" s="3"/>
      <c r="CE545" s="3"/>
      <c r="CF545" s="3"/>
      <c r="CG545" s="3"/>
      <c r="CH545" s="3"/>
      <c r="CJ545" s="3"/>
    </row>
    <row r="546" spans="1:96" s="5" customFormat="1" ht="14.25" customHeight="1">
      <c r="A546" s="136"/>
      <c r="B546" s="569"/>
      <c r="C546" s="526"/>
      <c r="D546" s="572"/>
      <c r="E546" s="909"/>
      <c r="F546" s="909"/>
      <c r="G546" s="910"/>
      <c r="H546" s="910"/>
      <c r="I546" s="910"/>
      <c r="J546" s="911"/>
      <c r="K546" s="912"/>
      <c r="L546" s="912"/>
      <c r="M546" s="906"/>
      <c r="N546" s="906"/>
      <c r="O546" s="907"/>
      <c r="P546" s="907"/>
      <c r="Q546" s="908"/>
      <c r="R546" s="3"/>
      <c r="S546" s="264"/>
      <c r="T546" s="264"/>
      <c r="U546" s="264"/>
      <c r="V546" s="264"/>
      <c r="W546" s="3"/>
      <c r="X546" s="264"/>
      <c r="Y546" s="264"/>
      <c r="Z546" s="264"/>
      <c r="AA546" s="3"/>
      <c r="AB546" s="3"/>
      <c r="AC546" s="3"/>
      <c r="AD546" s="41">
        <f t="shared" si="57"/>
        <v>19</v>
      </c>
      <c r="AE546" s="341" t="str">
        <f t="shared" si="39"/>
        <v>~</v>
      </c>
      <c r="AF546" s="551">
        <f t="shared" si="48"/>
        <v>20</v>
      </c>
      <c r="AG546" s="1426">
        <f t="shared" si="58"/>
        <v>1</v>
      </c>
      <c r="AH546" s="1426"/>
      <c r="AI546" s="591">
        <f t="shared" si="40"/>
        <v>1050000</v>
      </c>
      <c r="AJ546" s="604">
        <f t="shared" si="49"/>
        <v>-0.19543983866160697</v>
      </c>
      <c r="AK546" s="734">
        <f t="shared" si="50"/>
        <v>-1.1400351857467981</v>
      </c>
      <c r="AL546" s="1409">
        <f t="shared" si="51"/>
        <v>0</v>
      </c>
      <c r="AM546" s="1410"/>
      <c r="AN546" s="1424">
        <f t="shared" si="52"/>
        <v>0</v>
      </c>
      <c r="AO546" s="1425"/>
      <c r="AP546" s="558" t="str">
        <f t="shared" si="53"/>
        <v/>
      </c>
      <c r="AQ546" s="556">
        <f>SUM($AG$527:AG545)+(AG546/2)</f>
        <v>18.84</v>
      </c>
      <c r="AR546" s="57"/>
      <c r="AS546" s="871">
        <v>20</v>
      </c>
      <c r="AT546" s="871"/>
      <c r="AU546" s="863">
        <f t="shared" si="41"/>
        <v>750</v>
      </c>
      <c r="AV546" s="864"/>
      <c r="AW546" s="3"/>
      <c r="AX546" s="735">
        <f t="shared" si="54"/>
        <v>0</v>
      </c>
      <c r="AY546" s="736">
        <f t="shared" si="55"/>
        <v>0</v>
      </c>
      <c r="AZ546" s="3"/>
      <c r="BA546" s="3"/>
      <c r="BB546" s="3"/>
      <c r="BC546" s="3"/>
      <c r="BD546" s="3"/>
      <c r="BE546" s="3"/>
      <c r="BF546" s="3"/>
      <c r="BG546" s="3"/>
      <c r="BH546" s="15"/>
      <c r="BI546" s="15"/>
      <c r="BJ546" s="15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CD546" s="3"/>
      <c r="CE546" s="3"/>
      <c r="CF546" s="3"/>
      <c r="CG546" s="3"/>
      <c r="CH546" s="3"/>
    </row>
    <row r="547" spans="1:96" s="5" customFormat="1" ht="14.25" customHeight="1">
      <c r="A547" s="136"/>
      <c r="B547" s="569"/>
      <c r="C547" s="526"/>
      <c r="D547" s="572"/>
      <c r="E547" s="909"/>
      <c r="F547" s="909"/>
      <c r="G547" s="910"/>
      <c r="H547" s="910"/>
      <c r="I547" s="910"/>
      <c r="J547" s="911"/>
      <c r="K547" s="912"/>
      <c r="L547" s="912"/>
      <c r="M547" s="906"/>
      <c r="N547" s="906"/>
      <c r="O547" s="907"/>
      <c r="P547" s="907"/>
      <c r="Q547" s="908"/>
      <c r="R547" s="3"/>
      <c r="S547" s="264"/>
      <c r="T547" s="264"/>
      <c r="U547" s="264"/>
      <c r="V547" s="264"/>
      <c r="W547" s="3"/>
      <c r="X547" s="264"/>
      <c r="Y547" s="264"/>
      <c r="Z547" s="264"/>
      <c r="AA547" s="3"/>
      <c r="AB547" s="3"/>
      <c r="AC547" s="3"/>
      <c r="AD547" s="41">
        <f t="shared" si="57"/>
        <v>20</v>
      </c>
      <c r="AE547" s="341" t="str">
        <f t="shared" si="39"/>
        <v>~</v>
      </c>
      <c r="AF547" s="551">
        <f t="shared" si="48"/>
        <v>21</v>
      </c>
      <c r="AG547" s="1426">
        <f t="shared" si="58"/>
        <v>1</v>
      </c>
      <c r="AH547" s="1426"/>
      <c r="AI547" s="591">
        <f t="shared" si="40"/>
        <v>1050000</v>
      </c>
      <c r="AJ547" s="604">
        <f t="shared" si="49"/>
        <v>-0.24913210203018021</v>
      </c>
      <c r="AK547" s="734">
        <f t="shared" si="50"/>
        <v>-1.2412668134203602</v>
      </c>
      <c r="AL547" s="1409">
        <f t="shared" si="51"/>
        <v>0</v>
      </c>
      <c r="AM547" s="1410"/>
      <c r="AN547" s="1424">
        <f t="shared" si="52"/>
        <v>0</v>
      </c>
      <c r="AO547" s="1425"/>
      <c r="AP547" s="558" t="str">
        <f t="shared" si="53"/>
        <v/>
      </c>
      <c r="AQ547" s="556">
        <f>SUM($AG$527:AG546)+(AG547/2)</f>
        <v>19.84</v>
      </c>
      <c r="AR547" s="57"/>
      <c r="AS547" s="871">
        <v>21</v>
      </c>
      <c r="AT547" s="871"/>
      <c r="AU547" s="863">
        <f t="shared" si="41"/>
        <v>750</v>
      </c>
      <c r="AV547" s="864"/>
      <c r="AW547" s="3"/>
      <c r="AX547" s="735">
        <f t="shared" si="54"/>
        <v>0</v>
      </c>
      <c r="AY547" s="736">
        <f t="shared" si="55"/>
        <v>0</v>
      </c>
      <c r="AZ547" s="3"/>
      <c r="BA547" s="3"/>
      <c r="BB547" s="3"/>
      <c r="BC547" s="3"/>
      <c r="BD547" s="3"/>
      <c r="BE547" s="3"/>
      <c r="BF547" s="3"/>
      <c r="BG547" s="3"/>
      <c r="BH547" s="15"/>
      <c r="BI547" s="15"/>
      <c r="BJ547" s="15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CD547" s="3"/>
      <c r="CH547" s="3"/>
    </row>
    <row r="548" spans="1:96" s="5" customFormat="1" ht="14.25" customHeight="1">
      <c r="A548" s="136"/>
      <c r="B548" s="569"/>
      <c r="C548" s="526"/>
      <c r="D548" s="572"/>
      <c r="E548" s="909"/>
      <c r="F548" s="909"/>
      <c r="G548" s="910"/>
      <c r="H548" s="910"/>
      <c r="I548" s="910"/>
      <c r="J548" s="911"/>
      <c r="K548" s="912"/>
      <c r="L548" s="912"/>
      <c r="M548" s="906"/>
      <c r="N548" s="906"/>
      <c r="O548" s="907"/>
      <c r="P548" s="907"/>
      <c r="Q548" s="908"/>
      <c r="R548" s="3"/>
      <c r="S548" s="264"/>
      <c r="T548" s="264"/>
      <c r="U548" s="264"/>
      <c r="V548" s="264"/>
      <c r="W548" s="3"/>
      <c r="X548" s="264"/>
      <c r="Y548" s="264"/>
      <c r="Z548" s="264"/>
      <c r="AA548" s="3"/>
      <c r="AB548" s="3"/>
      <c r="AC548" s="3"/>
      <c r="AD548" s="41">
        <f t="shared" si="57"/>
        <v>21</v>
      </c>
      <c r="AE548" s="341" t="str">
        <f t="shared" si="39"/>
        <v>~</v>
      </c>
      <c r="AF548" s="551">
        <f t="shared" si="48"/>
        <v>22</v>
      </c>
      <c r="AG548" s="1426">
        <f t="shared" si="58"/>
        <v>1</v>
      </c>
      <c r="AH548" s="1426"/>
      <c r="AI548" s="591">
        <f t="shared" si="40"/>
        <v>1050000</v>
      </c>
      <c r="AJ548" s="604">
        <f t="shared" si="49"/>
        <v>-0.30282436539875368</v>
      </c>
      <c r="AK548" s="734">
        <f t="shared" si="50"/>
        <v>-1.342498441093922</v>
      </c>
      <c r="AL548" s="1409">
        <f t="shared" si="51"/>
        <v>0</v>
      </c>
      <c r="AM548" s="1410"/>
      <c r="AN548" s="1424">
        <f t="shared" si="52"/>
        <v>0</v>
      </c>
      <c r="AO548" s="1425"/>
      <c r="AP548" s="558" t="str">
        <f t="shared" si="53"/>
        <v/>
      </c>
      <c r="AQ548" s="556">
        <f>SUM($AG$527:AG547)+(AG548/2)</f>
        <v>20.84</v>
      </c>
      <c r="AR548" s="57"/>
      <c r="AS548" s="871">
        <v>22</v>
      </c>
      <c r="AT548" s="871"/>
      <c r="AU548" s="863">
        <f t="shared" si="41"/>
        <v>750</v>
      </c>
      <c r="AV548" s="864"/>
      <c r="AW548" s="3"/>
      <c r="AX548" s="735">
        <f t="shared" si="54"/>
        <v>0</v>
      </c>
      <c r="AY548" s="736">
        <f t="shared" si="55"/>
        <v>0</v>
      </c>
      <c r="AZ548" s="3"/>
      <c r="BA548" s="3"/>
      <c r="BB548" s="3"/>
      <c r="BC548" s="3"/>
      <c r="BD548" s="3"/>
      <c r="BE548" s="3"/>
      <c r="BF548" s="3"/>
      <c r="BG548" s="3"/>
      <c r="BH548" s="15"/>
      <c r="BI548" s="15"/>
      <c r="BJ548" s="15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CH548" s="3"/>
    </row>
    <row r="549" spans="1:96" s="5" customFormat="1" ht="14.25" customHeight="1">
      <c r="A549" s="136"/>
      <c r="B549" s="569"/>
      <c r="C549" s="526"/>
      <c r="D549" s="572"/>
      <c r="E549" s="909"/>
      <c r="F549" s="909"/>
      <c r="G549" s="910"/>
      <c r="H549" s="910"/>
      <c r="I549" s="910"/>
      <c r="J549" s="911"/>
      <c r="K549" s="912"/>
      <c r="L549" s="912"/>
      <c r="M549" s="906"/>
      <c r="N549" s="906"/>
      <c r="O549" s="907"/>
      <c r="P549" s="907"/>
      <c r="Q549" s="908"/>
      <c r="R549" s="3"/>
      <c r="S549" s="264"/>
      <c r="T549" s="264"/>
      <c r="U549" s="264"/>
      <c r="V549" s="264"/>
      <c r="W549" s="3"/>
      <c r="X549" s="264"/>
      <c r="Y549" s="264"/>
      <c r="Z549" s="264"/>
      <c r="AA549" s="3"/>
      <c r="AB549" s="3"/>
      <c r="AC549" s="3"/>
      <c r="AD549" s="41">
        <f t="shared" si="57"/>
        <v>22</v>
      </c>
      <c r="AE549" s="341" t="str">
        <f t="shared" si="39"/>
        <v>~</v>
      </c>
      <c r="AF549" s="551">
        <f t="shared" si="48"/>
        <v>23</v>
      </c>
      <c r="AG549" s="1426">
        <f t="shared" si="58"/>
        <v>1</v>
      </c>
      <c r="AH549" s="1426"/>
      <c r="AI549" s="591">
        <f t="shared" si="40"/>
        <v>1050000</v>
      </c>
      <c r="AJ549" s="604">
        <f t="shared" si="49"/>
        <v>-0.35651662876732693</v>
      </c>
      <c r="AK549" s="734">
        <f t="shared" si="50"/>
        <v>-1.4437300687674843</v>
      </c>
      <c r="AL549" s="1409">
        <f t="shared" si="51"/>
        <v>0</v>
      </c>
      <c r="AM549" s="1410"/>
      <c r="AN549" s="1424">
        <f t="shared" si="52"/>
        <v>0</v>
      </c>
      <c r="AO549" s="1425"/>
      <c r="AP549" s="558" t="str">
        <f t="shared" si="53"/>
        <v/>
      </c>
      <c r="AQ549" s="556">
        <f>SUM($AG$527:AG548)+(AG549/2)</f>
        <v>21.84</v>
      </c>
      <c r="AR549" s="57"/>
      <c r="AS549" s="871">
        <v>23</v>
      </c>
      <c r="AT549" s="871"/>
      <c r="AU549" s="863">
        <f t="shared" si="41"/>
        <v>750</v>
      </c>
      <c r="AV549" s="864"/>
      <c r="AW549" s="3"/>
      <c r="AX549" s="735">
        <f t="shared" si="54"/>
        <v>0</v>
      </c>
      <c r="AY549" s="736">
        <f t="shared" si="55"/>
        <v>0</v>
      </c>
      <c r="AZ549" s="3"/>
      <c r="BA549" s="3"/>
      <c r="BB549" s="3"/>
      <c r="BC549" s="3"/>
      <c r="BD549" s="3"/>
      <c r="BE549" s="3"/>
      <c r="BF549" s="3"/>
      <c r="BG549" s="3"/>
      <c r="BH549" s="15"/>
      <c r="BI549" s="15"/>
      <c r="BJ549" s="15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CH549" s="3"/>
      <c r="CL549" s="3"/>
      <c r="CM549" s="3"/>
    </row>
    <row r="550" spans="1:96" s="5" customFormat="1" ht="14.25" customHeight="1">
      <c r="A550" s="136"/>
      <c r="B550" s="569"/>
      <c r="C550" s="526"/>
      <c r="D550" s="572"/>
      <c r="E550" s="909"/>
      <c r="F550" s="909"/>
      <c r="G550" s="910"/>
      <c r="H550" s="910"/>
      <c r="I550" s="910"/>
      <c r="J550" s="911"/>
      <c r="K550" s="912"/>
      <c r="L550" s="912"/>
      <c r="M550" s="906"/>
      <c r="N550" s="906"/>
      <c r="O550" s="907"/>
      <c r="P550" s="907"/>
      <c r="Q550" s="908"/>
      <c r="R550" s="3"/>
      <c r="S550" s="264"/>
      <c r="T550" s="264"/>
      <c r="U550" s="264"/>
      <c r="V550" s="264"/>
      <c r="W550" s="3"/>
      <c r="X550" s="264"/>
      <c r="Y550" s="264"/>
      <c r="Z550" s="264"/>
      <c r="AA550" s="3"/>
      <c r="AB550" s="3"/>
      <c r="AC550" s="3"/>
      <c r="AD550" s="41">
        <f t="shared" si="57"/>
        <v>23</v>
      </c>
      <c r="AE550" s="341" t="str">
        <f t="shared" si="39"/>
        <v>~</v>
      </c>
      <c r="AF550" s="551">
        <f t="shared" si="48"/>
        <v>24</v>
      </c>
      <c r="AG550" s="1426">
        <f t="shared" si="58"/>
        <v>1</v>
      </c>
      <c r="AH550" s="1426"/>
      <c r="AI550" s="591">
        <f t="shared" si="40"/>
        <v>1050000</v>
      </c>
      <c r="AJ550" s="604">
        <f t="shared" si="49"/>
        <v>-0.41020889213590039</v>
      </c>
      <c r="AK550" s="734">
        <f t="shared" si="50"/>
        <v>-1.5449616964410462</v>
      </c>
      <c r="AL550" s="1409">
        <f t="shared" si="51"/>
        <v>0</v>
      </c>
      <c r="AM550" s="1410"/>
      <c r="AN550" s="1424">
        <f t="shared" si="52"/>
        <v>0</v>
      </c>
      <c r="AO550" s="1425"/>
      <c r="AP550" s="558" t="str">
        <f t="shared" si="53"/>
        <v/>
      </c>
      <c r="AQ550" s="556">
        <f>SUM($AG$527:AG549)+(AG550/2)</f>
        <v>22.84</v>
      </c>
      <c r="AR550" s="57"/>
      <c r="AS550" s="871">
        <v>24</v>
      </c>
      <c r="AT550" s="871"/>
      <c r="AU550" s="863">
        <f t="shared" si="41"/>
        <v>750</v>
      </c>
      <c r="AV550" s="864"/>
      <c r="AW550" s="3"/>
      <c r="AX550" s="735">
        <f t="shared" si="54"/>
        <v>0</v>
      </c>
      <c r="AY550" s="736">
        <f t="shared" si="55"/>
        <v>0</v>
      </c>
      <c r="AZ550" s="3"/>
      <c r="BA550" s="3"/>
      <c r="BB550" s="3"/>
      <c r="BC550" s="3"/>
      <c r="BD550" s="3"/>
      <c r="BE550" s="3"/>
      <c r="BF550" s="3"/>
      <c r="BG550" s="3"/>
      <c r="BH550" s="15"/>
      <c r="BI550" s="15"/>
      <c r="BJ550" s="15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CH550" s="3"/>
      <c r="CK550" s="3"/>
      <c r="CL550" s="3"/>
      <c r="CM550" s="3"/>
      <c r="CN550" s="3"/>
    </row>
    <row r="551" spans="1:96" s="5" customFormat="1" ht="14.25" customHeight="1">
      <c r="A551" s="136"/>
      <c r="B551" s="570"/>
      <c r="C551" s="526"/>
      <c r="D551" s="572"/>
      <c r="E551" s="909"/>
      <c r="F551" s="909"/>
      <c r="G551" s="910"/>
      <c r="H551" s="910"/>
      <c r="I551" s="910"/>
      <c r="J551" s="912"/>
      <c r="K551" s="912"/>
      <c r="L551" s="912"/>
      <c r="M551" s="906"/>
      <c r="N551" s="906"/>
      <c r="O551" s="907"/>
      <c r="P551" s="907"/>
      <c r="Q551" s="908"/>
      <c r="R551" s="3"/>
      <c r="S551" s="264"/>
      <c r="T551" s="264"/>
      <c r="U551" s="264"/>
      <c r="V551" s="264"/>
      <c r="W551" s="3"/>
      <c r="X551" s="264"/>
      <c r="Y551" s="264"/>
      <c r="Z551" s="264"/>
      <c r="AA551" s="3"/>
      <c r="AB551" s="3"/>
      <c r="AC551" s="3"/>
      <c r="AD551" s="41">
        <f t="shared" si="57"/>
        <v>24</v>
      </c>
      <c r="AE551" s="341" t="str">
        <f t="shared" si="39"/>
        <v>~</v>
      </c>
      <c r="AF551" s="551">
        <f t="shared" si="48"/>
        <v>25</v>
      </c>
      <c r="AG551" s="1426">
        <f t="shared" si="58"/>
        <v>1</v>
      </c>
      <c r="AH551" s="1426"/>
      <c r="AI551" s="591">
        <f t="shared" si="40"/>
        <v>1050000</v>
      </c>
      <c r="AJ551" s="604">
        <f t="shared" si="49"/>
        <v>-0.46390115550447364</v>
      </c>
      <c r="AK551" s="734">
        <f t="shared" si="50"/>
        <v>-1.6461933241146085</v>
      </c>
      <c r="AL551" s="1409">
        <f t="shared" si="51"/>
        <v>0</v>
      </c>
      <c r="AM551" s="1410"/>
      <c r="AN551" s="1424">
        <f t="shared" si="52"/>
        <v>0</v>
      </c>
      <c r="AO551" s="1425"/>
      <c r="AP551" s="558" t="str">
        <f t="shared" si="53"/>
        <v/>
      </c>
      <c r="AQ551" s="556">
        <f>SUM($AG$527:AG550)+(AG551/2)</f>
        <v>23.84</v>
      </c>
      <c r="AR551" s="57"/>
      <c r="AS551" s="871">
        <v>25</v>
      </c>
      <c r="AT551" s="871"/>
      <c r="AU551" s="863">
        <f t="shared" si="41"/>
        <v>750</v>
      </c>
      <c r="AV551" s="864"/>
      <c r="AW551" s="3"/>
      <c r="AX551" s="735">
        <f t="shared" si="54"/>
        <v>0</v>
      </c>
      <c r="AY551" s="736">
        <f t="shared" si="55"/>
        <v>0</v>
      </c>
      <c r="AZ551" s="3"/>
      <c r="BA551" s="3"/>
      <c r="BB551" s="3"/>
      <c r="BC551" s="3"/>
      <c r="BD551" s="3"/>
      <c r="BE551" s="3"/>
      <c r="BF551" s="3"/>
      <c r="BG551" s="3"/>
      <c r="BH551" s="15"/>
      <c r="BI551" s="15"/>
      <c r="BJ551" s="15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CH551" s="3"/>
      <c r="CK551" s="3"/>
      <c r="CL551" s="3"/>
      <c r="CM551" s="3"/>
      <c r="CN551" s="3"/>
    </row>
    <row r="552" spans="1:96" s="5" customFormat="1" ht="14.25" customHeight="1">
      <c r="A552" s="136"/>
      <c r="B552" s="569"/>
      <c r="C552" s="526"/>
      <c r="D552" s="572"/>
      <c r="E552" s="909"/>
      <c r="F552" s="909"/>
      <c r="G552" s="910"/>
      <c r="H552" s="910"/>
      <c r="I552" s="910"/>
      <c r="J552" s="912"/>
      <c r="K552" s="912"/>
      <c r="L552" s="912"/>
      <c r="M552" s="906"/>
      <c r="N552" s="906"/>
      <c r="O552" s="907"/>
      <c r="P552" s="907"/>
      <c r="Q552" s="908"/>
      <c r="R552" s="3"/>
      <c r="S552" s="264"/>
      <c r="T552" s="264"/>
      <c r="U552" s="264"/>
      <c r="V552" s="264"/>
      <c r="W552" s="3"/>
      <c r="X552" s="264"/>
      <c r="Y552" s="264"/>
      <c r="Z552" s="264"/>
      <c r="AA552" s="3"/>
      <c r="AB552" s="3"/>
      <c r="AC552" s="3"/>
      <c r="AD552" s="41">
        <f t="shared" si="57"/>
        <v>25</v>
      </c>
      <c r="AE552" s="341" t="str">
        <f t="shared" si="39"/>
        <v>~</v>
      </c>
      <c r="AF552" s="551">
        <f t="shared" si="48"/>
        <v>26</v>
      </c>
      <c r="AG552" s="1426">
        <f t="shared" ref="AG552:AG553" si="61">+AF552-AD552</f>
        <v>1</v>
      </c>
      <c r="AH552" s="1426"/>
      <c r="AI552" s="591">
        <f t="shared" si="40"/>
        <v>1050000</v>
      </c>
      <c r="AJ552" s="604">
        <f t="shared" si="49"/>
        <v>-0.51759341887304688</v>
      </c>
      <c r="AK552" s="734">
        <f t="shared" si="50"/>
        <v>-1.7474249517881704</v>
      </c>
      <c r="AL552" s="1409">
        <f t="shared" si="51"/>
        <v>0</v>
      </c>
      <c r="AM552" s="1410"/>
      <c r="AN552" s="1424">
        <f t="shared" si="52"/>
        <v>0</v>
      </c>
      <c r="AO552" s="1425"/>
      <c r="AP552" s="558" t="str">
        <f t="shared" si="53"/>
        <v/>
      </c>
      <c r="AQ552" s="556">
        <f>SUM($AG$527:AG551)+(AG552/2)</f>
        <v>24.84</v>
      </c>
      <c r="AR552" s="57"/>
      <c r="AS552" s="871">
        <v>26</v>
      </c>
      <c r="AT552" s="871"/>
      <c r="AU552" s="863">
        <f t="shared" si="41"/>
        <v>750</v>
      </c>
      <c r="AV552" s="864"/>
      <c r="AW552" s="3"/>
      <c r="AX552" s="735">
        <f t="shared" si="54"/>
        <v>0</v>
      </c>
      <c r="AY552" s="736">
        <f t="shared" si="55"/>
        <v>0</v>
      </c>
      <c r="AZ552" s="3"/>
      <c r="BA552" s="3"/>
      <c r="BB552" s="3"/>
      <c r="BC552" s="3"/>
      <c r="BD552" s="3"/>
      <c r="BE552" s="3"/>
      <c r="BF552" s="3"/>
      <c r="BG552" s="3"/>
      <c r="BH552" s="15"/>
      <c r="BI552" s="15"/>
      <c r="BJ552" s="15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CH552" s="3"/>
      <c r="CK552" s="3"/>
      <c r="CL552" s="3"/>
      <c r="CM552" s="3"/>
      <c r="CN552" s="3"/>
      <c r="CO552" s="3"/>
    </row>
    <row r="553" spans="1:96" ht="14.25" customHeight="1" thickBot="1">
      <c r="A553" s="136"/>
      <c r="B553" s="571"/>
      <c r="C553" s="527"/>
      <c r="D553" s="573"/>
      <c r="E553" s="909"/>
      <c r="F553" s="909"/>
      <c r="G553" s="910"/>
      <c r="H553" s="910"/>
      <c r="I553" s="910"/>
      <c r="J553" s="912"/>
      <c r="K553" s="912"/>
      <c r="L553" s="912"/>
      <c r="M553" s="906"/>
      <c r="N553" s="906"/>
      <c r="O553" s="907"/>
      <c r="P553" s="907"/>
      <c r="Q553" s="908"/>
      <c r="S553" s="264"/>
      <c r="T553" s="264"/>
      <c r="U553" s="264"/>
      <c r="V553" s="264"/>
      <c r="X553" s="264"/>
      <c r="Y553" s="264"/>
      <c r="Z553" s="264"/>
      <c r="AD553" s="41">
        <f t="shared" si="57"/>
        <v>26</v>
      </c>
      <c r="AE553" s="341">
        <f t="shared" si="39"/>
        <v>0</v>
      </c>
      <c r="AF553" s="551">
        <f t="shared" ref="AF553:AF556" si="62">+AF484</f>
        <v>27</v>
      </c>
      <c r="AG553" s="1426">
        <f t="shared" si="61"/>
        <v>1</v>
      </c>
      <c r="AH553" s="1426"/>
      <c r="AI553" s="591">
        <f t="shared" si="40"/>
        <v>1050000</v>
      </c>
      <c r="AJ553" s="604">
        <f t="shared" si="49"/>
        <v>-0.57128568224162035</v>
      </c>
      <c r="AK553" s="734">
        <f t="shared" si="50"/>
        <v>-1.8486565794617327</v>
      </c>
      <c r="AL553" s="1409">
        <f t="shared" si="51"/>
        <v>0</v>
      </c>
      <c r="AM553" s="1410"/>
      <c r="AN553" s="1380"/>
      <c r="AO553" s="1433"/>
      <c r="AP553" s="558" t="str">
        <f t="shared" si="53"/>
        <v/>
      </c>
      <c r="AQ553" s="556">
        <f>SUM($AG$527:AG552)+(AG553/2)</f>
        <v>25.84</v>
      </c>
      <c r="AR553" s="57"/>
      <c r="AS553" s="871">
        <v>27</v>
      </c>
      <c r="AT553" s="871"/>
      <c r="AU553" s="863">
        <f>+AU36</f>
        <v>0</v>
      </c>
      <c r="AV553" s="864"/>
      <c r="AX553" s="735">
        <f t="shared" si="54"/>
        <v>0</v>
      </c>
      <c r="AY553" s="736">
        <f t="shared" si="55"/>
        <v>0</v>
      </c>
      <c r="BH553" s="15"/>
      <c r="BI553" s="15"/>
      <c r="BJ553" s="15"/>
      <c r="BY553" s="5"/>
      <c r="BZ553" s="5"/>
      <c r="CD553" s="5"/>
      <c r="CE553" s="5"/>
      <c r="CF553" s="5"/>
      <c r="CG553" s="5"/>
      <c r="CJ553" s="5"/>
      <c r="CQ553" s="5"/>
      <c r="CR553" s="5"/>
    </row>
    <row r="554" spans="1:96" ht="15" customHeight="1" thickTop="1" thickBot="1">
      <c r="A554" s="136"/>
      <c r="B554" s="270"/>
      <c r="C554" s="271"/>
      <c r="D554" s="272"/>
      <c r="E554" s="1388"/>
      <c r="F554" s="1388"/>
      <c r="G554" s="1370"/>
      <c r="H554" s="1370"/>
      <c r="I554" s="1370"/>
      <c r="J554" s="1371"/>
      <c r="K554" s="1371"/>
      <c r="L554" s="1371"/>
      <c r="M554" s="1372" t="s">
        <v>301</v>
      </c>
      <c r="N554" s="1372"/>
      <c r="O554" s="1373">
        <f>SUM(O527:Q553)</f>
        <v>2.063E-4</v>
      </c>
      <c r="P554" s="1373">
        <f>SUM(P527:V545)</f>
        <v>0</v>
      </c>
      <c r="Q554" s="1374"/>
      <c r="S554" s="273"/>
      <c r="T554" s="273"/>
      <c r="U554" s="273"/>
      <c r="V554" s="273"/>
      <c r="X554" s="273"/>
      <c r="Y554" s="273"/>
      <c r="Z554" s="273"/>
      <c r="AD554" s="41">
        <f t="shared" si="57"/>
        <v>27</v>
      </c>
      <c r="AE554" s="341">
        <f t="shared" si="39"/>
        <v>0</v>
      </c>
      <c r="AF554" s="551">
        <f t="shared" si="62"/>
        <v>0</v>
      </c>
      <c r="AG554" s="1426"/>
      <c r="AH554" s="1426"/>
      <c r="AI554" s="593"/>
      <c r="AJ554" s="604" t="str">
        <f t="shared" ref="AJ554:AJ555" si="63">IF(AG554="","",(IF(AQ554&lt;$AJ$573,(AQ554*$AL$572+$AM$572),(AQ554*$AL$573+$AM$573))))</f>
        <v/>
      </c>
      <c r="AK554" s="594"/>
      <c r="AL554" s="1409"/>
      <c r="AM554" s="1410"/>
      <c r="AN554" s="1380"/>
      <c r="AO554" s="1433"/>
      <c r="AP554" s="558" t="str">
        <f t="shared" si="53"/>
        <v>no</v>
      </c>
      <c r="AQ554" s="556"/>
      <c r="AR554" s="57"/>
      <c r="AS554" s="871"/>
      <c r="AT554" s="871"/>
      <c r="AU554" s="863"/>
      <c r="AV554" s="864"/>
      <c r="AX554" s="735">
        <f t="shared" si="54"/>
        <v>0</v>
      </c>
      <c r="AY554" s="736">
        <f t="shared" si="55"/>
        <v>0</v>
      </c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Y554" s="5"/>
      <c r="BZ554" s="5"/>
      <c r="CD554" s="5"/>
      <c r="CE554" s="5"/>
      <c r="CF554" s="5"/>
      <c r="CG554" s="5"/>
      <c r="CJ554" s="5"/>
      <c r="CL554" s="5"/>
      <c r="CM554" s="5"/>
    </row>
    <row r="555" spans="1:96" ht="15" customHeight="1" thickTop="1">
      <c r="A555" s="136"/>
      <c r="B555" s="136"/>
      <c r="E555" s="258"/>
      <c r="F555" s="258"/>
      <c r="G555" s="258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AD555" s="41">
        <f t="shared" si="57"/>
        <v>0</v>
      </c>
      <c r="AE555" s="341">
        <f t="shared" si="39"/>
        <v>0</v>
      </c>
      <c r="AF555" s="551">
        <f t="shared" si="62"/>
        <v>0</v>
      </c>
      <c r="AG555" s="865"/>
      <c r="AH555" s="866"/>
      <c r="AI555" s="593"/>
      <c r="AJ555" s="604" t="str">
        <f t="shared" si="63"/>
        <v/>
      </c>
      <c r="AK555" s="594"/>
      <c r="AL555" s="1409"/>
      <c r="AM555" s="1410"/>
      <c r="AN555" s="1380"/>
      <c r="AO555" s="1433"/>
      <c r="AP555" s="558" t="str">
        <f t="shared" si="53"/>
        <v>no</v>
      </c>
      <c r="AQ555" s="556"/>
      <c r="AR555" s="57"/>
      <c r="AS555" s="871"/>
      <c r="AT555" s="871"/>
      <c r="AU555" s="863"/>
      <c r="AV555" s="864"/>
      <c r="AX555" s="735">
        <f t="shared" si="54"/>
        <v>0</v>
      </c>
      <c r="AY555" s="736">
        <f t="shared" si="55"/>
        <v>0</v>
      </c>
      <c r="AZ555" s="20"/>
      <c r="BA555" s="1303"/>
      <c r="BB555" s="1303"/>
      <c r="BC555" s="1303"/>
      <c r="BD555" s="1303"/>
      <c r="BE555" s="1303"/>
      <c r="BF555" s="21"/>
      <c r="BG555" s="21"/>
      <c r="BH555" s="20"/>
      <c r="BI555" s="20"/>
      <c r="BJ555" s="20"/>
      <c r="BY555" s="5"/>
      <c r="CD555" s="5"/>
      <c r="CE555" s="5"/>
      <c r="CF555" s="5"/>
      <c r="CG555" s="5"/>
      <c r="CJ555" s="5"/>
      <c r="CK555" s="5"/>
      <c r="CL555" s="5"/>
      <c r="CM555" s="5"/>
      <c r="CN555" s="5"/>
    </row>
    <row r="556" spans="1:96" ht="15" customHeight="1">
      <c r="A556" s="5"/>
      <c r="B556" s="5"/>
      <c r="C556" s="1376" t="s">
        <v>362</v>
      </c>
      <c r="D556" s="1377" t="s">
        <v>327</v>
      </c>
      <c r="E556" s="1375">
        <f>+T521</f>
        <v>0.92796610169491522</v>
      </c>
      <c r="F556" s="1375"/>
      <c r="G556" s="1067" t="s">
        <v>249</v>
      </c>
      <c r="H556" s="1375">
        <f>+W521</f>
        <v>1.4352182518111363</v>
      </c>
      <c r="I556" s="1375"/>
      <c r="J556" s="1067" t="s">
        <v>249</v>
      </c>
      <c r="K556" s="1428">
        <f>+N521-Q521</f>
        <v>82.6</v>
      </c>
      <c r="L556" s="1428"/>
      <c r="M556" s="1067" t="s">
        <v>249</v>
      </c>
      <c r="N556" s="1429">
        <f>+O554</f>
        <v>2.063E-4</v>
      </c>
      <c r="O556" s="1429"/>
      <c r="P556" s="1429"/>
      <c r="Q556" s="1429" t="s">
        <v>328</v>
      </c>
      <c r="R556" s="1067" t="s">
        <v>249</v>
      </c>
      <c r="S556" s="1503">
        <v>1000</v>
      </c>
      <c r="T556" s="1503"/>
      <c r="U556" s="1067" t="s">
        <v>316</v>
      </c>
      <c r="V556" s="1502">
        <f>ROUND(+E556*H556*K556*N556*S556,2)</f>
        <v>22.69</v>
      </c>
      <c r="W556" s="1502"/>
      <c r="X556" s="1502"/>
      <c r="Y556" s="1554" t="s">
        <v>329</v>
      </c>
      <c r="AA556" s="542"/>
      <c r="AD556" s="41">
        <f t="shared" si="57"/>
        <v>0</v>
      </c>
      <c r="AE556" s="341">
        <f t="shared" si="39"/>
        <v>0</v>
      </c>
      <c r="AF556" s="551">
        <f t="shared" si="62"/>
        <v>0</v>
      </c>
      <c r="AG556" s="865"/>
      <c r="AH556" s="866"/>
      <c r="AI556" s="593"/>
      <c r="AJ556" s="606"/>
      <c r="AK556" s="594"/>
      <c r="AL556" s="1409"/>
      <c r="AM556" s="1410"/>
      <c r="AN556" s="1380"/>
      <c r="AO556" s="1433"/>
      <c r="AP556" s="558" t="str">
        <f t="shared" si="53"/>
        <v>no</v>
      </c>
      <c r="AQ556" s="556"/>
      <c r="AR556" s="57"/>
      <c r="AS556" s="871"/>
      <c r="AT556" s="871"/>
      <c r="AU556" s="863"/>
      <c r="AV556" s="864"/>
      <c r="AX556" s="735">
        <f t="shared" si="54"/>
        <v>0</v>
      </c>
      <c r="AY556" s="736">
        <f t="shared" si="55"/>
        <v>0</v>
      </c>
      <c r="AZ556" s="20"/>
      <c r="BA556" s="757">
        <f>+IF(H521&lt;F14,S14,IF(H521&lt;F15,S15,IF(H521&lt;F16,S16,IF(H521&lt;F17,S17,S18))))</f>
        <v>0.4</v>
      </c>
      <c r="BB556" s="739"/>
      <c r="BC556" s="739"/>
      <c r="BD556" s="739"/>
      <c r="BE556" s="739"/>
      <c r="BF556" s="17"/>
      <c r="BG556" s="17"/>
      <c r="BH556" s="17"/>
      <c r="BI556" s="17"/>
      <c r="BJ556" s="17"/>
      <c r="BY556" s="5"/>
      <c r="CD556" s="5"/>
      <c r="CE556" s="5"/>
      <c r="CF556" s="5"/>
      <c r="CG556" s="5"/>
      <c r="CJ556" s="5"/>
      <c r="CK556" s="5"/>
      <c r="CL556" s="5"/>
      <c r="CM556" s="5"/>
      <c r="CN556" s="5"/>
    </row>
    <row r="557" spans="1:96" ht="15" customHeight="1">
      <c r="A557" s="5"/>
      <c r="B557" s="5"/>
      <c r="C557" s="1376"/>
      <c r="D557" s="1376"/>
      <c r="E557" s="1375"/>
      <c r="F557" s="1375"/>
      <c r="G557" s="1067" t="s">
        <v>249</v>
      </c>
      <c r="H557" s="1375"/>
      <c r="I557" s="1375"/>
      <c r="J557" s="1067" t="s">
        <v>249</v>
      </c>
      <c r="K557" s="1428"/>
      <c r="L557" s="1428"/>
      <c r="M557" s="1067" t="s">
        <v>249</v>
      </c>
      <c r="N557" s="1429"/>
      <c r="O557" s="1429"/>
      <c r="P557" s="1429"/>
      <c r="Q557" s="1429" t="s">
        <v>249</v>
      </c>
      <c r="R557" s="1067" t="s">
        <v>249</v>
      </c>
      <c r="S557" s="1503"/>
      <c r="T557" s="1503"/>
      <c r="U557" s="1067"/>
      <c r="V557" s="1502"/>
      <c r="W557" s="1502"/>
      <c r="X557" s="1502"/>
      <c r="Y557" s="1554"/>
      <c r="Z557" s="542"/>
      <c r="AA557" s="542"/>
      <c r="AC557" s="5"/>
      <c r="AD557" s="365"/>
      <c r="AE557" s="366"/>
      <c r="AF557" s="367"/>
      <c r="AG557" s="367"/>
      <c r="AH557" s="367"/>
      <c r="AI557" s="367"/>
      <c r="AJ557" s="70"/>
      <c r="AK557" s="71" t="s">
        <v>97</v>
      </c>
      <c r="AL557" s="1434">
        <f>SUM(AL527:AM556)</f>
        <v>2.063E-4</v>
      </c>
      <c r="AM557" s="1435"/>
      <c r="AN557" s="1434">
        <f>SUM(AN527:AO556)</f>
        <v>2.4560000000000001E-4</v>
      </c>
      <c r="AO557" s="1435"/>
      <c r="AX557" s="696">
        <f>ROUND(SUM(AX527:AX556)/(AJ574-AJ572)*BC558,0)</f>
        <v>1209492</v>
      </c>
      <c r="AY557" s="697">
        <f>ROUND(SUM(AY527:AY556)/(AJ570-AJ568),0)</f>
        <v>116032</v>
      </c>
      <c r="AZ557" s="20"/>
      <c r="BA557" s="758">
        <f>1-BA556</f>
        <v>0.6</v>
      </c>
      <c r="BB557" s="758"/>
      <c r="BC557" s="758"/>
      <c r="BD557" s="57"/>
      <c r="BE557" s="57"/>
      <c r="BF557" s="352"/>
      <c r="BG557" s="352"/>
      <c r="BH557" s="17"/>
      <c r="BI557" s="17"/>
      <c r="BJ557" s="17"/>
      <c r="BX557" s="5"/>
      <c r="BY557" s="5"/>
      <c r="CD557" s="5"/>
      <c r="CE557" s="5"/>
      <c r="CF557" s="5"/>
      <c r="CG557" s="5"/>
      <c r="CJ557" s="5"/>
      <c r="CK557" s="5"/>
      <c r="CL557" s="5"/>
      <c r="CM557" s="5"/>
      <c r="CN557" s="5"/>
      <c r="CO557" s="5"/>
    </row>
    <row r="558" spans="1:96" s="5" customFormat="1" ht="15" customHeight="1">
      <c r="C558" s="125"/>
      <c r="D558" s="125"/>
      <c r="E558" s="296"/>
      <c r="F558" s="296"/>
      <c r="G558" s="296"/>
      <c r="H558" s="296"/>
      <c r="I558" s="296"/>
      <c r="J558" s="296"/>
      <c r="K558" s="300"/>
      <c r="L558" s="300"/>
      <c r="M558" s="296"/>
      <c r="N558" s="301"/>
      <c r="O558" s="301"/>
      <c r="P558" s="301"/>
      <c r="Q558" s="301"/>
      <c r="R558" s="296"/>
      <c r="S558" s="302"/>
      <c r="T558" s="302"/>
      <c r="U558" s="302"/>
      <c r="V558" s="301"/>
      <c r="W558" s="125"/>
      <c r="X558" s="347"/>
      <c r="Y558" s="347"/>
      <c r="Z558" s="347"/>
      <c r="AA558" s="348"/>
      <c r="AB558" s="3"/>
      <c r="AD558" s="3"/>
      <c r="AE558" s="3"/>
      <c r="AF558" s="3"/>
      <c r="AG558" s="3"/>
      <c r="AH558" s="3"/>
      <c r="AI558" s="3">
        <f>+AI557*AL557*AO557*AS557*1000</f>
        <v>0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20"/>
      <c r="AY558" s="20"/>
      <c r="AZ558" s="20"/>
      <c r="BA558" s="759">
        <f>1+BA556</f>
        <v>1.4</v>
      </c>
      <c r="BB558" s="759">
        <f>+(1-2*BA556)</f>
        <v>0.19999999999999996</v>
      </c>
      <c r="BC558" s="760">
        <f>+BA557/(BA558*BB558)</f>
        <v>2.1428571428571432</v>
      </c>
      <c r="BD558" s="737"/>
      <c r="BE558" s="737"/>
      <c r="BF558" s="17"/>
      <c r="BG558" s="17"/>
      <c r="BH558" s="17"/>
      <c r="BI558" s="17"/>
      <c r="BJ558" s="17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Z558" s="3"/>
      <c r="CA558" s="3"/>
      <c r="CB558" s="3"/>
      <c r="CC558" s="3"/>
      <c r="CH558" s="3"/>
      <c r="CL558" s="3"/>
      <c r="CM558" s="3"/>
      <c r="CQ558" s="3"/>
      <c r="CR558" s="3"/>
    </row>
    <row r="559" spans="1:96" s="5" customFormat="1" ht="15" customHeight="1">
      <c r="C559" s="125"/>
      <c r="D559" s="125"/>
      <c r="E559" s="296"/>
      <c r="F559" s="296"/>
      <c r="G559" s="296"/>
      <c r="H559" s="296"/>
      <c r="I559" s="296"/>
      <c r="J559" s="296"/>
      <c r="K559" s="300"/>
      <c r="L559" s="300"/>
      <c r="M559" s="296"/>
      <c r="N559" s="301"/>
      <c r="O559" s="301"/>
      <c r="P559" s="301"/>
      <c r="Q559" s="301"/>
      <c r="R559" s="296"/>
      <c r="S559" s="302"/>
      <c r="T559" s="302"/>
      <c r="U559" s="302"/>
      <c r="V559" s="301"/>
      <c r="W559" s="125"/>
      <c r="X559" s="347"/>
      <c r="Y559" s="347"/>
      <c r="Z559" s="347"/>
      <c r="AA559" s="348"/>
      <c r="AB559" s="3"/>
      <c r="AD559" s="3"/>
      <c r="AE559" s="3"/>
      <c r="AF559" s="3"/>
      <c r="AG559" s="3"/>
      <c r="AH559" s="3" t="s">
        <v>299</v>
      </c>
      <c r="AI559" s="3"/>
      <c r="AJ559" s="3"/>
      <c r="AK559" s="3" t="s">
        <v>300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20"/>
      <c r="AY559" s="20"/>
      <c r="AZ559" s="20"/>
      <c r="BA559" s="738"/>
      <c r="BB559" s="738"/>
      <c r="BC559" s="16"/>
      <c r="BD559" s="16"/>
      <c r="BE559" s="16"/>
      <c r="BF559" s="17"/>
      <c r="BG559" s="17"/>
      <c r="BH559" s="17"/>
      <c r="BI559" s="17"/>
      <c r="BJ559" s="17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Z559" s="3"/>
      <c r="CE559" s="3"/>
      <c r="CF559" s="3"/>
      <c r="CG559" s="3"/>
      <c r="CH559" s="3"/>
      <c r="CJ559" s="3"/>
      <c r="CK559" s="3"/>
      <c r="CL559" s="3"/>
      <c r="CM559" s="3"/>
      <c r="CN559" s="3"/>
    </row>
    <row r="560" spans="1:96" s="5" customFormat="1" ht="15" customHeight="1">
      <c r="C560" s="125"/>
      <c r="D560" s="125"/>
      <c r="E560" s="296"/>
      <c r="F560" s="296"/>
      <c r="G560" s="296"/>
      <c r="H560" s="296"/>
      <c r="I560" s="296"/>
      <c r="J560" s="296"/>
      <c r="K560" s="300"/>
      <c r="L560" s="300"/>
      <c r="M560" s="296"/>
      <c r="N560" s="301"/>
      <c r="O560" s="301"/>
      <c r="P560" s="301"/>
      <c r="Q560" s="301"/>
      <c r="R560" s="296"/>
      <c r="S560" s="302"/>
      <c r="T560" s="302"/>
      <c r="U560" s="302"/>
      <c r="V560" s="301"/>
      <c r="W560" s="125"/>
      <c r="X560" s="347"/>
      <c r="Y560" s="347"/>
      <c r="Z560" s="347"/>
      <c r="AA560" s="348"/>
      <c r="AB560" s="3"/>
      <c r="AD560" s="3"/>
      <c r="AE560" s="3"/>
      <c r="AF560" s="3"/>
      <c r="AG560" s="3"/>
      <c r="AH560" s="3" t="s">
        <v>302</v>
      </c>
      <c r="AI560" s="3"/>
      <c r="AJ560" s="3"/>
      <c r="AK560" s="3" t="s">
        <v>303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20"/>
      <c r="AY560" s="20"/>
      <c r="AZ560" s="20"/>
      <c r="BA560" s="20"/>
      <c r="BB560" s="20"/>
      <c r="BC560" s="17"/>
      <c r="BD560" s="17"/>
      <c r="BE560" s="17"/>
      <c r="BF560" s="17"/>
      <c r="BG560" s="17"/>
      <c r="BH560" s="17"/>
      <c r="BI560" s="17"/>
      <c r="BJ560" s="17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Z560" s="3"/>
      <c r="CD560" s="3"/>
      <c r="CE560" s="3"/>
      <c r="CF560" s="3"/>
      <c r="CG560" s="3"/>
      <c r="CH560" s="3"/>
      <c r="CJ560" s="3"/>
      <c r="CK560" s="3"/>
      <c r="CL560" s="3"/>
      <c r="CM560" s="3"/>
      <c r="CN560" s="3"/>
    </row>
    <row r="561" spans="1:96" s="5" customFormat="1" ht="15" customHeight="1">
      <c r="C561" s="125"/>
      <c r="D561" s="125"/>
      <c r="E561" s="296"/>
      <c r="F561" s="296"/>
      <c r="G561" s="296"/>
      <c r="H561" s="296"/>
      <c r="I561" s="296"/>
      <c r="J561" s="296"/>
      <c r="K561" s="300"/>
      <c r="L561" s="300"/>
      <c r="M561" s="296"/>
      <c r="N561" s="301"/>
      <c r="O561" s="301"/>
      <c r="P561" s="301"/>
      <c r="Q561" s="301"/>
      <c r="R561" s="296"/>
      <c r="S561" s="302"/>
      <c r="T561" s="302"/>
      <c r="U561" s="302"/>
      <c r="V561" s="301"/>
      <c r="W561" s="125"/>
      <c r="X561" s="347"/>
      <c r="Y561" s="347"/>
      <c r="Z561" s="347"/>
      <c r="AA561" s="348"/>
      <c r="AB561" s="3"/>
      <c r="AD561" s="452" t="s">
        <v>304</v>
      </c>
      <c r="AE561" s="452" t="s">
        <v>378</v>
      </c>
      <c r="AF561" s="452"/>
      <c r="AG561" s="452"/>
      <c r="AH561" s="452"/>
      <c r="AI561" s="452"/>
      <c r="AJ561" s="452"/>
      <c r="AK561" s="452"/>
      <c r="AL561" s="452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20"/>
      <c r="AY561" s="20"/>
      <c r="AZ561" s="20"/>
      <c r="BA561" s="20"/>
      <c r="BB561" s="20"/>
      <c r="BC561" s="17"/>
      <c r="BD561" s="17"/>
      <c r="BE561" s="17"/>
      <c r="BF561" s="17"/>
      <c r="BG561" s="17"/>
      <c r="BH561" s="17"/>
      <c r="BI561" s="17"/>
      <c r="BJ561" s="17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Y561" s="3"/>
      <c r="CD561" s="3"/>
      <c r="CE561" s="3"/>
      <c r="CF561" s="3"/>
      <c r="CG561" s="3"/>
      <c r="CH561" s="3"/>
      <c r="CJ561" s="3"/>
      <c r="CK561" s="3"/>
      <c r="CL561" s="3"/>
      <c r="CM561" s="3"/>
      <c r="CN561" s="3"/>
      <c r="CO561" s="3"/>
    </row>
    <row r="562" spans="1:96" ht="15" customHeight="1">
      <c r="A562" s="5"/>
      <c r="B562" s="5"/>
      <c r="C562" s="125"/>
      <c r="D562" s="125"/>
      <c r="E562" s="296"/>
      <c r="F562" s="296"/>
      <c r="G562" s="296"/>
      <c r="H562" s="296"/>
      <c r="I562" s="296"/>
      <c r="J562" s="296"/>
      <c r="K562" s="300"/>
      <c r="L562" s="300"/>
      <c r="M562" s="296"/>
      <c r="N562" s="301"/>
      <c r="O562" s="301"/>
      <c r="P562" s="301"/>
      <c r="Q562" s="301"/>
      <c r="R562" s="296"/>
      <c r="S562" s="302"/>
      <c r="T562" s="302"/>
      <c r="U562" s="302"/>
      <c r="V562" s="301"/>
      <c r="W562" s="125"/>
      <c r="X562" s="347"/>
      <c r="Y562" s="347"/>
      <c r="Z562" s="347"/>
      <c r="AA562" s="348"/>
      <c r="AB562" s="346"/>
      <c r="AC562" s="5"/>
      <c r="AI562" s="1384">
        <f>+F5/J5</f>
        <v>0.97435897435897434</v>
      </c>
      <c r="AJ562" s="1384"/>
      <c r="AX562" s="20"/>
      <c r="AY562" s="20"/>
      <c r="AZ562" s="20"/>
      <c r="BA562" s="20"/>
      <c r="BB562" s="20"/>
      <c r="BC562" s="17"/>
      <c r="BD562" s="17"/>
      <c r="BE562" s="17"/>
      <c r="BF562" s="17"/>
      <c r="BG562" s="17"/>
      <c r="BH562" s="17"/>
      <c r="BI562" s="17"/>
      <c r="BJ562" s="17"/>
      <c r="BX562" s="5"/>
      <c r="BZ562" s="5"/>
      <c r="CA562" s="5"/>
      <c r="CB562" s="5"/>
      <c r="CC562" s="5"/>
      <c r="CQ562" s="5"/>
      <c r="CR562" s="5"/>
    </row>
    <row r="563" spans="1:96" ht="15" customHeight="1">
      <c r="A563" s="5"/>
      <c r="B563" s="5"/>
      <c r="C563" s="125"/>
      <c r="D563" s="125"/>
      <c r="E563" s="296"/>
      <c r="F563" s="296"/>
      <c r="G563" s="296"/>
      <c r="H563" s="296"/>
      <c r="I563" s="296"/>
      <c r="J563" s="296"/>
      <c r="K563" s="300"/>
      <c r="L563" s="300"/>
      <c r="M563" s="296"/>
      <c r="N563" s="301"/>
      <c r="O563" s="301"/>
      <c r="P563" s="301"/>
      <c r="Q563" s="301"/>
      <c r="R563" s="296"/>
      <c r="S563" s="302"/>
      <c r="T563" s="302"/>
      <c r="U563" s="302"/>
      <c r="V563" s="301"/>
      <c r="W563" s="125"/>
      <c r="X563" s="347"/>
      <c r="Y563" s="347"/>
      <c r="Z563" s="347"/>
      <c r="AA563" s="348"/>
      <c r="AB563" s="346"/>
      <c r="AC563" s="5"/>
      <c r="AG563" s="5"/>
      <c r="AI563" s="278" t="s">
        <v>307</v>
      </c>
      <c r="AJ563" s="279" t="s">
        <v>308</v>
      </c>
      <c r="AK563" s="279" t="s">
        <v>309</v>
      </c>
      <c r="AL563" s="279" t="s">
        <v>310</v>
      </c>
      <c r="AM563" s="280" t="s">
        <v>311</v>
      </c>
      <c r="AQ563" s="364"/>
      <c r="AR563" s="364"/>
      <c r="AS563" s="364"/>
      <c r="AT563" s="364"/>
      <c r="AU563" s="370"/>
      <c r="AV563" s="364"/>
      <c r="BX563" s="5"/>
      <c r="BZ563" s="5"/>
    </row>
    <row r="564" spans="1:96" ht="15" customHeight="1">
      <c r="A564" s="5"/>
      <c r="B564" s="5"/>
      <c r="C564" s="125"/>
      <c r="D564" s="125"/>
      <c r="E564" s="296"/>
      <c r="F564" s="296"/>
      <c r="G564" s="296"/>
      <c r="H564" s="296"/>
      <c r="I564" s="296"/>
      <c r="J564" s="296"/>
      <c r="K564" s="300"/>
      <c r="L564" s="300"/>
      <c r="M564" s="296"/>
      <c r="N564" s="301"/>
      <c r="O564" s="301"/>
      <c r="P564" s="301"/>
      <c r="Q564" s="301"/>
      <c r="R564" s="296"/>
      <c r="S564" s="302"/>
      <c r="T564" s="302"/>
      <c r="U564" s="302"/>
      <c r="V564" s="301"/>
      <c r="W564" s="125"/>
      <c r="X564" s="347"/>
      <c r="Y564" s="347"/>
      <c r="Z564" s="347"/>
      <c r="AA564" s="348"/>
      <c r="AB564" s="349"/>
      <c r="AC564" s="5"/>
      <c r="AI564" s="281">
        <v>0</v>
      </c>
      <c r="AJ564" s="282">
        <v>0.4</v>
      </c>
      <c r="AK564" s="282">
        <v>0.1</v>
      </c>
      <c r="AL564" s="283">
        <f>SLOPE(AK564:AK565,AJ564:AJ565)</f>
        <v>0.2105263157894737</v>
      </c>
      <c r="AM564" s="284">
        <f>INTERCEPT(AK564:AK565,AJ564:AJ565)</f>
        <v>1.578947368421052E-2</v>
      </c>
      <c r="AS564" s="371"/>
      <c r="AW564" s="5"/>
      <c r="AY564" s="3"/>
      <c r="BX564" s="5"/>
      <c r="BZ564" s="5"/>
      <c r="CJ564" s="5"/>
    </row>
    <row r="565" spans="1:96" ht="15" customHeight="1">
      <c r="A565" s="5"/>
      <c r="B565" s="5"/>
      <c r="C565" s="125"/>
      <c r="D565" s="125"/>
      <c r="E565" s="296"/>
      <c r="F565" s="296"/>
      <c r="G565" s="296"/>
      <c r="H565" s="296"/>
      <c r="I565" s="296"/>
      <c r="J565" s="296"/>
      <c r="K565" s="300"/>
      <c r="L565" s="300"/>
      <c r="M565" s="296"/>
      <c r="N565" s="301"/>
      <c r="O565" s="301"/>
      <c r="P565" s="301"/>
      <c r="Q565" s="301"/>
      <c r="R565" s="296"/>
      <c r="S565" s="302"/>
      <c r="T565" s="302"/>
      <c r="U565" s="302"/>
      <c r="V565" s="301"/>
      <c r="W565" s="125"/>
      <c r="X565" s="347"/>
      <c r="Y565" s="347"/>
      <c r="Z565" s="347"/>
      <c r="AA565" s="348"/>
      <c r="AB565" s="349"/>
      <c r="AC565" s="5"/>
      <c r="AI565" s="286">
        <v>0.5</v>
      </c>
      <c r="AJ565" s="287">
        <f>AI565*F5+AJ564</f>
        <v>2.2999999999999998</v>
      </c>
      <c r="AK565" s="282">
        <v>0.5</v>
      </c>
      <c r="AL565" s="283">
        <f>SLOPE(AK565:AK566,AJ565:AJ566)</f>
        <v>-8.771929824561403E-2</v>
      </c>
      <c r="AM565" s="284">
        <f>INTERCEPT(AK565:AK566,AJ565:AJ566)</f>
        <v>0.70175438596491224</v>
      </c>
      <c r="AW565" s="5"/>
      <c r="AY565" s="3"/>
      <c r="BX565" s="5"/>
      <c r="CE565" s="5"/>
      <c r="CF565" s="5"/>
      <c r="CG565" s="5"/>
      <c r="CJ565" s="5"/>
    </row>
    <row r="566" spans="1:96" ht="15" customHeight="1">
      <c r="A566" s="5"/>
      <c r="B566" s="5"/>
      <c r="C566" s="125"/>
      <c r="D566" s="125"/>
      <c r="E566" s="296"/>
      <c r="F566" s="296"/>
      <c r="G566" s="296"/>
      <c r="H566" s="296"/>
      <c r="I566" s="296"/>
      <c r="J566" s="296"/>
      <c r="K566" s="300"/>
      <c r="L566" s="300"/>
      <c r="M566" s="296"/>
      <c r="N566" s="301"/>
      <c r="O566" s="301"/>
      <c r="P566" s="301"/>
      <c r="Q566" s="301"/>
      <c r="R566" s="296"/>
      <c r="S566" s="302"/>
      <c r="T566" s="302"/>
      <c r="U566" s="302"/>
      <c r="V566" s="301"/>
      <c r="W566" s="125"/>
      <c r="X566" s="347"/>
      <c r="Y566" s="347"/>
      <c r="Z566" s="347"/>
      <c r="AA566" s="348"/>
      <c r="AC566" s="5"/>
      <c r="AI566" s="288">
        <v>2</v>
      </c>
      <c r="AJ566" s="289">
        <f>AI566*F5+AJ564</f>
        <v>8</v>
      </c>
      <c r="AK566" s="289">
        <v>0</v>
      </c>
      <c r="AL566" s="290"/>
      <c r="AM566" s="291"/>
      <c r="BX566" s="5"/>
      <c r="CD566" s="5"/>
      <c r="CE566" s="5"/>
      <c r="CF566" s="5"/>
      <c r="CG566" s="5"/>
      <c r="CJ566" s="5"/>
    </row>
    <row r="567" spans="1:96" ht="15" customHeight="1">
      <c r="A567" s="5"/>
      <c r="B567" s="5"/>
      <c r="C567" s="125"/>
      <c r="D567" s="125"/>
      <c r="E567" s="296"/>
      <c r="F567" s="296"/>
      <c r="G567" s="296"/>
      <c r="H567" s="296"/>
      <c r="I567" s="296"/>
      <c r="J567" s="296"/>
      <c r="K567" s="300"/>
      <c r="L567" s="300"/>
      <c r="M567" s="296"/>
      <c r="N567" s="301"/>
      <c r="O567" s="301"/>
      <c r="P567" s="301"/>
      <c r="Q567" s="301"/>
      <c r="R567" s="296"/>
      <c r="S567" s="302"/>
      <c r="T567" s="302"/>
      <c r="U567" s="302"/>
      <c r="V567" s="301"/>
      <c r="W567" s="125"/>
      <c r="X567" s="347"/>
      <c r="Y567" s="347"/>
      <c r="Z567" s="347"/>
      <c r="AA567" s="348"/>
      <c r="AC567" s="5"/>
      <c r="AI567" s="374" t="s">
        <v>314</v>
      </c>
      <c r="AJ567" s="375" t="s">
        <v>308</v>
      </c>
      <c r="AK567" s="375" t="s">
        <v>309</v>
      </c>
      <c r="AL567" s="376" t="s">
        <v>310</v>
      </c>
      <c r="AM567" s="377" t="s">
        <v>311</v>
      </c>
      <c r="AW567" s="364"/>
      <c r="AX567" s="364"/>
      <c r="AY567" s="1202"/>
      <c r="AZ567" s="1202"/>
      <c r="BX567" s="5"/>
      <c r="BY567" s="5"/>
      <c r="CD567" s="5"/>
      <c r="CE567" s="5"/>
      <c r="CF567" s="5"/>
      <c r="CG567" s="5"/>
      <c r="CJ567" s="5"/>
    </row>
    <row r="568" spans="1:96" ht="15" customHeight="1">
      <c r="A568" s="5"/>
      <c r="B568" s="5"/>
      <c r="C568" s="125"/>
      <c r="D568" s="125"/>
      <c r="E568" s="296"/>
      <c r="F568" s="296"/>
      <c r="G568" s="296"/>
      <c r="H568" s="296"/>
      <c r="I568" s="296"/>
      <c r="J568" s="296"/>
      <c r="K568" s="300"/>
      <c r="L568" s="300"/>
      <c r="M568" s="296"/>
      <c r="N568" s="301"/>
      <c r="O568" s="301"/>
      <c r="P568" s="301"/>
      <c r="Q568" s="301"/>
      <c r="R568" s="296"/>
      <c r="S568" s="302"/>
      <c r="T568" s="302"/>
      <c r="U568" s="302"/>
      <c r="V568" s="301"/>
      <c r="W568" s="125"/>
      <c r="X568" s="347"/>
      <c r="Y568" s="347"/>
      <c r="Z568" s="347"/>
      <c r="AA568" s="348"/>
      <c r="AB568" s="349"/>
      <c r="AC568" s="5"/>
      <c r="AI568" s="378">
        <v>0</v>
      </c>
      <c r="AJ568" s="294">
        <f>+H521</f>
        <v>0.66</v>
      </c>
      <c r="AK568" s="295">
        <f>0.0111*AI562+0.0889</f>
        <v>9.9715384615384622E-2</v>
      </c>
      <c r="AL568" s="380">
        <f>SLOPE(AK568:AK569,AJ568:AJ569)</f>
        <v>0.24903642879712981</v>
      </c>
      <c r="AM568" s="284">
        <f>+AK568</f>
        <v>9.9715384615384622E-2</v>
      </c>
      <c r="AR568" s="727">
        <f>0.1+0.0111*(E521/B521-1)</f>
        <v>0.1002921052631579</v>
      </c>
      <c r="AS568" s="57"/>
      <c r="AT568" s="57"/>
      <c r="BX568" s="5"/>
      <c r="BY568" s="5"/>
      <c r="CD568" s="5"/>
      <c r="CE568" s="5"/>
      <c r="CF568" s="5"/>
      <c r="CG568" s="5"/>
    </row>
    <row r="569" spans="1:96" ht="15" customHeight="1">
      <c r="A569" s="5"/>
      <c r="B569" s="5"/>
      <c r="C569" s="125"/>
      <c r="D569" s="125"/>
      <c r="E569" s="296"/>
      <c r="F569" s="296"/>
      <c r="G569" s="296"/>
      <c r="H569" s="296"/>
      <c r="I569" s="296"/>
      <c r="J569" s="296"/>
      <c r="K569" s="300"/>
      <c r="L569" s="300"/>
      <c r="M569" s="296"/>
      <c r="N569" s="301"/>
      <c r="O569" s="301"/>
      <c r="P569" s="301"/>
      <c r="Q569" s="301"/>
      <c r="R569" s="296"/>
      <c r="S569" s="302"/>
      <c r="T569" s="302"/>
      <c r="U569" s="302"/>
      <c r="V569" s="301"/>
      <c r="W569" s="125"/>
      <c r="X569" s="347"/>
      <c r="Y569" s="347"/>
      <c r="Z569" s="347"/>
      <c r="AA569" s="348"/>
      <c r="AB569" s="349"/>
      <c r="AC569" s="5"/>
      <c r="AI569" s="383">
        <f>0.0556*AI562+0.444</f>
        <v>0.49817435897435897</v>
      </c>
      <c r="AJ569" s="384">
        <f>+AQ569</f>
        <v>2.56555</v>
      </c>
      <c r="AK569" s="384">
        <f>+AR569</f>
        <v>0.57426675150975537</v>
      </c>
      <c r="AL569" s="722">
        <f>SLOPE(AK569:AK570,AJ569:AJ570)</f>
        <v>-0.10123162767356209</v>
      </c>
      <c r="AM569" s="284">
        <f>+(AJ570-AJ568)*-AL569</f>
        <v>0.76716867962311164</v>
      </c>
      <c r="AQ569" s="57">
        <f>+B521*(0.5+0.0555*(E521/B521-1))+H521</f>
        <v>2.56555</v>
      </c>
      <c r="AR569" s="728">
        <f>0.5+0.1*SQRT((N521-Q521)/((H521+2.5*B521)*$AH$198))</f>
        <v>0.57426675150975537</v>
      </c>
      <c r="AS569" s="57"/>
      <c r="AT569" s="57"/>
      <c r="AX569" s="3"/>
      <c r="AZ569" s="5"/>
      <c r="BY569" s="5"/>
      <c r="CD569" s="5"/>
    </row>
    <row r="570" spans="1:96" ht="15" customHeight="1">
      <c r="A570" s="5"/>
      <c r="B570" s="5"/>
      <c r="C570" s="125" t="s">
        <v>540</v>
      </c>
      <c r="D570" s="125"/>
      <c r="E570" s="296"/>
      <c r="F570" s="296"/>
      <c r="G570" s="296"/>
      <c r="H570" s="296"/>
      <c r="I570" s="296"/>
      <c r="J570" s="296"/>
      <c r="K570" s="300"/>
      <c r="L570" s="300"/>
      <c r="M570" s="296"/>
      <c r="N570" s="301"/>
      <c r="O570" s="301"/>
      <c r="P570" s="301"/>
      <c r="Q570" s="301"/>
      <c r="R570" s="296"/>
      <c r="S570" s="302"/>
      <c r="T570" s="302"/>
      <c r="U570" s="302"/>
      <c r="V570" s="301"/>
      <c r="W570" s="125"/>
      <c r="X570" s="347"/>
      <c r="Y570" s="347"/>
      <c r="Z570" s="347"/>
      <c r="AA570" s="348"/>
      <c r="AB570" s="349"/>
      <c r="AC570" s="5"/>
      <c r="AI570" s="386">
        <f>0.2222*AI562+1.7778</f>
        <v>1.9943025641025642</v>
      </c>
      <c r="AJ570" s="387">
        <f>AI570*F5+AJ568</f>
        <v>8.2383497435897439</v>
      </c>
      <c r="AK570" s="387">
        <v>0</v>
      </c>
      <c r="AL570" s="388"/>
      <c r="AM570" s="389"/>
      <c r="AQ570" s="729">
        <f>+AQ569-H521</f>
        <v>1.9055499999999999</v>
      </c>
      <c r="AR570" s="57"/>
      <c r="AS570" s="57"/>
      <c r="AT570" s="57"/>
      <c r="AX570" s="3"/>
      <c r="AZ570" s="5"/>
      <c r="BY570" s="5"/>
    </row>
    <row r="571" spans="1:96" ht="15" customHeight="1">
      <c r="A571" s="5"/>
      <c r="B571" s="5"/>
      <c r="C571" s="1067" t="s">
        <v>373</v>
      </c>
      <c r="D571" s="1066" t="s">
        <v>90</v>
      </c>
      <c r="E571" s="1387" t="s">
        <v>374</v>
      </c>
      <c r="F571" s="1387"/>
      <c r="G571" s="1387"/>
      <c r="H571" s="1387"/>
      <c r="I571" s="1387"/>
      <c r="J571" s="353"/>
      <c r="K571" s="353"/>
      <c r="L571" s="353"/>
      <c r="M571" s="353"/>
      <c r="N571" s="301"/>
      <c r="O571" s="301"/>
      <c r="P571" s="354"/>
      <c r="Q571" s="300"/>
      <c r="R571" s="300"/>
      <c r="S571" s="302"/>
      <c r="T571" s="301"/>
      <c r="U571" s="125"/>
      <c r="V571" s="1376"/>
      <c r="W571" s="1505"/>
      <c r="X571" s="1505"/>
      <c r="Y571" s="1504"/>
      <c r="Z571" s="1504"/>
      <c r="AA571" s="85"/>
      <c r="AB571" s="5"/>
      <c r="AC571" s="5"/>
      <c r="AI571" s="278" t="s">
        <v>326</v>
      </c>
      <c r="AJ571" s="279" t="s">
        <v>308</v>
      </c>
      <c r="AK571" s="279" t="s">
        <v>309</v>
      </c>
      <c r="AL571" s="292" t="s">
        <v>310</v>
      </c>
      <c r="AM571" s="293" t="s">
        <v>311</v>
      </c>
      <c r="AQ571" s="57"/>
      <c r="AR571" s="57"/>
      <c r="AS571" s="57"/>
      <c r="AT571" s="57"/>
      <c r="AX571" s="3"/>
      <c r="AZ571" s="5"/>
    </row>
    <row r="572" spans="1:96" ht="15" customHeight="1">
      <c r="A572" s="5"/>
      <c r="B572" s="5"/>
      <c r="C572" s="1067"/>
      <c r="D572" s="1066"/>
      <c r="E572" s="1391" t="s">
        <v>573</v>
      </c>
      <c r="F572" s="1391"/>
      <c r="G572" s="1391"/>
      <c r="H572" s="1391"/>
      <c r="I572" s="1391"/>
      <c r="J572" s="300"/>
      <c r="K572" s="296"/>
      <c r="L572" s="356"/>
      <c r="M572" s="354"/>
      <c r="N572" s="301"/>
      <c r="O572" s="301"/>
      <c r="P572" s="296"/>
      <c r="Q572" s="300"/>
      <c r="R572" s="357"/>
      <c r="S572" s="300"/>
      <c r="T572" s="301"/>
      <c r="U572" s="125"/>
      <c r="V572" s="1376"/>
      <c r="W572" s="1505"/>
      <c r="X572" s="1505"/>
      <c r="Y572" s="1504"/>
      <c r="Z572" s="1504"/>
      <c r="AA572" s="85"/>
      <c r="AB572" s="5"/>
      <c r="AC572" s="5"/>
      <c r="AI572" s="281">
        <v>0</v>
      </c>
      <c r="AJ572" s="282">
        <f>+H521</f>
        <v>0.66</v>
      </c>
      <c r="AK572" s="282">
        <v>0.2</v>
      </c>
      <c r="AL572" s="283">
        <f>SLOPE(AK572:AK573,AJ572:AJ573)</f>
        <v>0.10844521115835158</v>
      </c>
      <c r="AM572" s="284">
        <f>+AK572</f>
        <v>0.2</v>
      </c>
      <c r="AQ572" s="730">
        <f>+AK572</f>
        <v>0.2</v>
      </c>
      <c r="AR572" s="57"/>
      <c r="AS572" s="57"/>
      <c r="AT572" s="57"/>
      <c r="AX572" s="3"/>
      <c r="AZ572" s="5"/>
    </row>
    <row r="573" spans="1:96" ht="15" customHeight="1">
      <c r="A573" s="5"/>
      <c r="B573" s="5"/>
      <c r="C573" s="296"/>
      <c r="D573" s="297"/>
      <c r="E573" s="296"/>
      <c r="F573" s="296"/>
      <c r="G573" s="296"/>
      <c r="H573" s="296"/>
      <c r="I573" s="296"/>
      <c r="J573" s="300"/>
      <c r="K573" s="296"/>
      <c r="L573" s="356"/>
      <c r="M573" s="354"/>
      <c r="N573" s="301"/>
      <c r="O573" s="301"/>
      <c r="P573" s="296"/>
      <c r="Q573" s="300"/>
      <c r="R573" s="357"/>
      <c r="S573" s="300"/>
      <c r="T573" s="301"/>
      <c r="U573" s="125"/>
      <c r="V573" s="125"/>
      <c r="W573" s="355"/>
      <c r="X573" s="355"/>
      <c r="Y573" s="224"/>
      <c r="Z573" s="224"/>
      <c r="AA573" s="85"/>
      <c r="AB573" s="5"/>
      <c r="AC573" s="5"/>
      <c r="AI573" s="286">
        <v>1</v>
      </c>
      <c r="AJ573" s="282">
        <f>AI573*F5+AJ572</f>
        <v>4.46</v>
      </c>
      <c r="AK573" s="282">
        <f>+AR573</f>
        <v>0.612091802401736</v>
      </c>
      <c r="AL573" s="283">
        <f>SLOPE(AK573:AK574,AJ573:AJ574)</f>
        <v>-5.3692263368573336E-2</v>
      </c>
      <c r="AM573" s="284">
        <f>+(AJ574-AJ572)*-AL573</f>
        <v>0.81612240320231466</v>
      </c>
      <c r="AQ573" s="731">
        <f>+B521+H521</f>
        <v>4.46</v>
      </c>
      <c r="AR573" s="728">
        <f>0.5+0.1*SQRT((N521-Q521)/((H521+B521)*$AH$198))</f>
        <v>0.612091802401736</v>
      </c>
      <c r="AS573" s="57"/>
      <c r="AT573" s="57"/>
      <c r="AX573" s="3"/>
      <c r="AZ573" s="5"/>
    </row>
    <row r="574" spans="1:96" ht="15" customHeight="1">
      <c r="A574" s="5"/>
      <c r="B574" s="5"/>
      <c r="C574" s="125"/>
      <c r="D574" s="296"/>
      <c r="E574" s="579" t="s">
        <v>572</v>
      </c>
      <c r="F574" s="582" t="s">
        <v>90</v>
      </c>
      <c r="G574" s="584" t="s">
        <v>564</v>
      </c>
      <c r="H574" s="580"/>
      <c r="I574" s="580"/>
      <c r="J574" s="579"/>
      <c r="K574" s="582" t="s">
        <v>90</v>
      </c>
      <c r="L574" s="579">
        <v>2</v>
      </c>
      <c r="M574" s="579" t="s">
        <v>180</v>
      </c>
      <c r="N574" s="879">
        <f>+G508/1000</f>
        <v>0.5</v>
      </c>
      <c r="O574" s="879"/>
      <c r="P574" s="580" t="s">
        <v>180</v>
      </c>
      <c r="Q574" s="879">
        <f>+TAN(RADIANS(Q92))</f>
        <v>0.99999999999999989</v>
      </c>
      <c r="R574" s="879"/>
      <c r="S574" s="583" t="s">
        <v>90</v>
      </c>
      <c r="T574" s="1235">
        <f>+L574*N574*Q574</f>
        <v>0.99999999999999989</v>
      </c>
      <c r="U574" s="1235"/>
      <c r="V574" s="125"/>
      <c r="W574" s="347"/>
      <c r="X574" s="347"/>
      <c r="Y574" s="347"/>
      <c r="Z574" s="348"/>
      <c r="AA574" s="348"/>
      <c r="AB574" s="5"/>
      <c r="AC574" s="5"/>
      <c r="AI574" s="288">
        <v>4</v>
      </c>
      <c r="AJ574" s="289">
        <f>AI574*F5+AJ572</f>
        <v>15.86</v>
      </c>
      <c r="AK574" s="289">
        <v>0</v>
      </c>
      <c r="AL574" s="304"/>
      <c r="AM574" s="305"/>
      <c r="AQ574" s="732">
        <f>+AQ573-H521</f>
        <v>3.8</v>
      </c>
      <c r="AR574" s="57"/>
      <c r="AS574" s="57"/>
      <c r="AT574" s="57"/>
      <c r="AX574" s="3"/>
      <c r="AZ574" s="5"/>
    </row>
    <row r="575" spans="1:96" ht="15" customHeight="1">
      <c r="A575" s="5"/>
      <c r="B575" s="5"/>
      <c r="C575" s="125"/>
      <c r="D575" s="296"/>
      <c r="E575" s="579"/>
      <c r="F575" s="582"/>
      <c r="G575" s="600" t="s">
        <v>581</v>
      </c>
      <c r="H575" s="580"/>
      <c r="I575" s="580"/>
      <c r="J575" s="579"/>
      <c r="K575" s="582"/>
      <c r="L575" s="579"/>
      <c r="M575" s="579"/>
      <c r="N575" s="580"/>
      <c r="O575" s="580"/>
      <c r="P575" s="580"/>
      <c r="Q575" s="580"/>
      <c r="R575" s="580"/>
      <c r="S575" s="583"/>
      <c r="T575" s="585"/>
      <c r="U575" s="585"/>
      <c r="V575" s="125"/>
      <c r="W575" s="347"/>
      <c r="X575" s="347"/>
      <c r="Y575" s="347"/>
      <c r="Z575" s="348"/>
      <c r="AA575" s="348"/>
      <c r="AB575" s="5"/>
      <c r="AC575" s="5"/>
      <c r="AQ575" s="57"/>
      <c r="AR575" s="57"/>
      <c r="AS575" s="57"/>
      <c r="AT575" s="57"/>
      <c r="AX575" s="3"/>
      <c r="AZ575" s="5"/>
      <c r="BX575" s="5"/>
    </row>
    <row r="576" spans="1:96" ht="15" customHeight="1">
      <c r="A576" s="5"/>
      <c r="B576" s="5"/>
      <c r="C576" s="125"/>
      <c r="D576" s="296"/>
      <c r="E576" s="579"/>
      <c r="F576" s="582"/>
      <c r="G576" s="584"/>
      <c r="H576" s="580"/>
      <c r="I576" s="580"/>
      <c r="J576" s="579"/>
      <c r="K576" s="582"/>
      <c r="L576" s="579"/>
      <c r="M576" s="579"/>
      <c r="N576" s="580"/>
      <c r="O576" s="580"/>
      <c r="P576" s="580"/>
      <c r="Q576" s="580"/>
      <c r="R576" s="580"/>
      <c r="S576" s="583"/>
      <c r="T576" s="585"/>
      <c r="U576" s="585"/>
      <c r="V576" s="125"/>
      <c r="W576" s="347"/>
      <c r="X576" s="347"/>
      <c r="Y576" s="347"/>
      <c r="Z576" s="348"/>
      <c r="AA576" s="348"/>
      <c r="AB576" s="5"/>
      <c r="AC576" s="5"/>
      <c r="AQ576" s="57"/>
      <c r="AR576" s="57"/>
      <c r="AS576" s="57"/>
      <c r="AT576" s="57"/>
      <c r="AX576" s="3"/>
      <c r="AZ576" s="5"/>
      <c r="BX576" s="5"/>
    </row>
    <row r="577" spans="1:76" ht="15" customHeight="1">
      <c r="A577" s="5"/>
      <c r="B577" s="5"/>
      <c r="C577" s="125"/>
      <c r="D577" s="1431" t="s">
        <v>90</v>
      </c>
      <c r="E577" s="359"/>
      <c r="H577" s="1551">
        <f>+L521</f>
        <v>150</v>
      </c>
      <c r="I577" s="1551"/>
      <c r="J577" s="1551"/>
      <c r="K577" s="1551"/>
      <c r="L577" s="361" t="s">
        <v>343</v>
      </c>
      <c r="M577" s="361" t="s">
        <v>357</v>
      </c>
      <c r="N577" s="1551">
        <f>+B521</f>
        <v>3.8</v>
      </c>
      <c r="O577" s="1551"/>
      <c r="P577" s="1551" t="s">
        <v>343</v>
      </c>
      <c r="Q577" s="1551"/>
      <c r="R577" s="1551">
        <f>+E521</f>
        <v>3.9</v>
      </c>
      <c r="S577" s="1551"/>
      <c r="T577" s="361" t="s">
        <v>328</v>
      </c>
      <c r="U577" s="487"/>
      <c r="V577" s="1376" t="s">
        <v>316</v>
      </c>
      <c r="W577" s="1432">
        <f>ROUND(H577*(N577*R577)/((F578+J578)*(P578+S578)),1)</f>
        <v>94.5</v>
      </c>
      <c r="X577" s="1432"/>
      <c r="Y577" s="1316" t="s">
        <v>474</v>
      </c>
      <c r="Z577" s="1316"/>
      <c r="AA577" s="348"/>
      <c r="AB577" s="5"/>
      <c r="AC577" s="5"/>
      <c r="AX577" s="3"/>
      <c r="AZ577" s="5"/>
      <c r="BX577" s="5"/>
    </row>
    <row r="578" spans="1:76" ht="15" customHeight="1">
      <c r="A578" s="5"/>
      <c r="B578" s="5"/>
      <c r="C578" s="125"/>
      <c r="D578" s="1428"/>
      <c r="E578" s="300" t="s">
        <v>357</v>
      </c>
      <c r="F578" s="1391">
        <f>+B521</f>
        <v>3.8</v>
      </c>
      <c r="G578" s="1391"/>
      <c r="H578" s="1067"/>
      <c r="I578" s="356" t="s">
        <v>248</v>
      </c>
      <c r="J578" s="1428">
        <f>+T574</f>
        <v>0.99999999999999989</v>
      </c>
      <c r="K578" s="1428"/>
      <c r="L578" s="301" t="s">
        <v>328</v>
      </c>
      <c r="M578" s="1429" t="s">
        <v>343</v>
      </c>
      <c r="N578" s="1429"/>
      <c r="O578" s="296" t="s">
        <v>357</v>
      </c>
      <c r="P578" s="1428">
        <f>+E521</f>
        <v>3.9</v>
      </c>
      <c r="Q578" s="1428"/>
      <c r="R578" s="357" t="s">
        <v>248</v>
      </c>
      <c r="S578" s="1428">
        <f>+T574</f>
        <v>0.99999999999999989</v>
      </c>
      <c r="T578" s="1428"/>
      <c r="U578" s="301" t="s">
        <v>328</v>
      </c>
      <c r="V578" s="1376"/>
      <c r="W578" s="1432"/>
      <c r="X578" s="1432"/>
      <c r="Y578" s="1316"/>
      <c r="Z578" s="1316"/>
      <c r="AA578" s="348"/>
      <c r="AB578" s="5"/>
      <c r="AC578" s="5"/>
      <c r="AK578" s="559"/>
      <c r="AS578" s="559"/>
      <c r="AX578" s="3"/>
      <c r="AZ578" s="5"/>
      <c r="BX578" s="5"/>
    </row>
    <row r="579" spans="1:76" ht="15" customHeight="1">
      <c r="A579" s="5"/>
      <c r="B579" s="5"/>
      <c r="C579" s="125"/>
      <c r="D579" s="300"/>
      <c r="E579" s="300"/>
      <c r="F579" s="296"/>
      <c r="G579" s="356"/>
      <c r="H579" s="300"/>
      <c r="I579" s="301"/>
      <c r="J579" s="301"/>
      <c r="K579" s="296"/>
      <c r="L579" s="300"/>
      <c r="M579" s="357"/>
      <c r="N579" s="300"/>
      <c r="O579" s="301"/>
      <c r="P579" s="125"/>
      <c r="Q579" s="125"/>
      <c r="R579" s="355"/>
      <c r="S579" s="355"/>
      <c r="T579" s="224"/>
      <c r="U579" s="224"/>
      <c r="V579" s="125"/>
      <c r="W579" s="347"/>
      <c r="X579" s="347"/>
      <c r="Y579" s="347"/>
      <c r="Z579" s="348"/>
      <c r="AA579" s="348"/>
      <c r="AB579" s="5"/>
      <c r="AC579" s="5"/>
      <c r="AK579" s="559"/>
      <c r="AM579" s="529"/>
      <c r="AS579" s="559"/>
      <c r="AX579" s="3"/>
      <c r="AZ579" s="5"/>
    </row>
    <row r="580" spans="1:76" ht="15" customHeight="1">
      <c r="A580" s="5"/>
      <c r="B580" s="5"/>
      <c r="C580" s="125"/>
      <c r="D580" s="303"/>
      <c r="E580" s="300"/>
      <c r="G580" s="356"/>
      <c r="H580" s="354"/>
      <c r="I580" s="301"/>
      <c r="J580" s="353"/>
      <c r="K580" s="353"/>
      <c r="L580" s="357"/>
      <c r="M580" s="353"/>
      <c r="N580" s="353"/>
      <c r="O580" s="301"/>
      <c r="P580" s="125"/>
      <c r="Q580" s="456"/>
      <c r="R580" s="721"/>
      <c r="S580" s="721"/>
      <c r="T580" s="96"/>
      <c r="U580" s="96"/>
      <c r="V580" s="125"/>
      <c r="W580" s="347"/>
      <c r="X580" s="347"/>
      <c r="Y580" s="347"/>
      <c r="Z580" s="348"/>
      <c r="AA580" s="348"/>
      <c r="AB580" s="5"/>
      <c r="AC580" s="5"/>
      <c r="AX580" s="3"/>
      <c r="AZ580" s="5"/>
    </row>
    <row r="581" spans="1:76" ht="15" customHeight="1">
      <c r="A581" s="5"/>
      <c r="B581" s="5"/>
      <c r="C581" s="125"/>
      <c r="D581" s="1067" t="s">
        <v>317</v>
      </c>
      <c r="E581" s="1377" t="s">
        <v>316</v>
      </c>
      <c r="F581" s="1067">
        <v>1</v>
      </c>
      <c r="G581" s="1067"/>
      <c r="H581" s="1067" t="s">
        <v>330</v>
      </c>
      <c r="I581" s="1428">
        <v>0.5</v>
      </c>
      <c r="J581" s="1428"/>
      <c r="K581" s="1067" t="s">
        <v>331</v>
      </c>
      <c r="L581" s="1387" t="s">
        <v>332</v>
      </c>
      <c r="M581" s="1387"/>
      <c r="N581" s="1387"/>
      <c r="O581" s="1387"/>
      <c r="P581" s="1387"/>
      <c r="Q581" s="1067" t="s">
        <v>324</v>
      </c>
      <c r="R581" s="296"/>
      <c r="S581" s="296" t="s">
        <v>333</v>
      </c>
      <c r="T581" s="296" t="s">
        <v>316</v>
      </c>
      <c r="U581" s="1067">
        <f>+Q521</f>
        <v>11.9</v>
      </c>
      <c r="V581" s="1067"/>
      <c r="W581" s="1067"/>
      <c r="X581" s="303" t="s">
        <v>334</v>
      </c>
      <c r="Y581" s="303"/>
      <c r="Z581" s="125"/>
      <c r="AA581" s="125"/>
      <c r="AB581" s="5"/>
      <c r="AC581" s="5"/>
      <c r="AX581" s="3"/>
      <c r="AZ581" s="5"/>
      <c r="BK581" s="13"/>
    </row>
    <row r="582" spans="1:76" ht="15" customHeight="1">
      <c r="A582" s="5"/>
      <c r="B582" s="5"/>
      <c r="C582" s="125"/>
      <c r="D582" s="1067"/>
      <c r="E582" s="1377"/>
      <c r="F582" s="1067"/>
      <c r="G582" s="1067"/>
      <c r="H582" s="1067"/>
      <c r="I582" s="1428"/>
      <c r="J582" s="1428"/>
      <c r="K582" s="1067"/>
      <c r="L582" s="1391" t="s">
        <v>377</v>
      </c>
      <c r="M582" s="1391"/>
      <c r="N582" s="296" t="s">
        <v>330</v>
      </c>
      <c r="O582" s="1391" t="s">
        <v>333</v>
      </c>
      <c r="P582" s="1391"/>
      <c r="Q582" s="1067"/>
      <c r="R582" s="296"/>
      <c r="S582" s="296" t="s">
        <v>377</v>
      </c>
      <c r="T582" s="296" t="s">
        <v>316</v>
      </c>
      <c r="U582" s="1432">
        <f>ROUND(+N521,0)</f>
        <v>95</v>
      </c>
      <c r="V582" s="1067"/>
      <c r="W582" s="1067"/>
      <c r="X582" s="303" t="s">
        <v>334</v>
      </c>
      <c r="Y582" s="303"/>
      <c r="Z582" s="125"/>
      <c r="AA582" s="125"/>
      <c r="AB582" s="5"/>
      <c r="AC582" s="5"/>
      <c r="AI582" s="560"/>
      <c r="AJ582" s="529"/>
      <c r="AX582" s="3"/>
      <c r="AZ582" s="5"/>
    </row>
    <row r="583" spans="1:76" ht="15" customHeight="1">
      <c r="A583" s="5"/>
      <c r="B583" s="5"/>
      <c r="C583" s="125"/>
      <c r="D583" s="296"/>
      <c r="E583" s="1376"/>
      <c r="F583" s="1067">
        <v>1</v>
      </c>
      <c r="G583" s="1067"/>
      <c r="H583" s="1066" t="s">
        <v>330</v>
      </c>
      <c r="I583" s="1067">
        <v>0.5</v>
      </c>
      <c r="J583" s="1067"/>
      <c r="K583" s="1067" t="s">
        <v>336</v>
      </c>
      <c r="L583" s="1387">
        <f>+Q521</f>
        <v>11.9</v>
      </c>
      <c r="M583" s="1387"/>
      <c r="N583" s="1387"/>
      <c r="O583" s="1387"/>
      <c r="P583" s="1387"/>
      <c r="Q583" s="1067" t="s">
        <v>324</v>
      </c>
      <c r="R583" s="296"/>
      <c r="S583" s="296"/>
      <c r="T583" s="1067" t="s">
        <v>316</v>
      </c>
      <c r="U583" s="1389">
        <f>ROUND(+F583-I583*(L583/(L584-O584)),2)</f>
        <v>0.93</v>
      </c>
      <c r="V583" s="1389"/>
      <c r="W583" s="1389"/>
      <c r="X583" s="1390"/>
      <c r="Y583" s="1390"/>
      <c r="Z583" s="125"/>
      <c r="AA583" s="125"/>
      <c r="AB583" s="5"/>
      <c r="AC583" s="5"/>
      <c r="AI583" s="561"/>
      <c r="AJ583" s="529"/>
      <c r="AX583" s="3"/>
      <c r="AZ583" s="5"/>
    </row>
    <row r="584" spans="1:76" ht="15" customHeight="1">
      <c r="A584" s="5"/>
      <c r="B584" s="5"/>
      <c r="C584" s="125"/>
      <c r="D584" s="296"/>
      <c r="E584" s="1376"/>
      <c r="F584" s="1067"/>
      <c r="G584" s="1067"/>
      <c r="H584" s="1066"/>
      <c r="I584" s="1067"/>
      <c r="J584" s="1067"/>
      <c r="K584" s="1067"/>
      <c r="L584" s="1563">
        <f>+N521</f>
        <v>94.5</v>
      </c>
      <c r="M584" s="1391"/>
      <c r="N584" s="296" t="s">
        <v>330</v>
      </c>
      <c r="O584" s="1391">
        <f>+Q521</f>
        <v>11.9</v>
      </c>
      <c r="P584" s="1391"/>
      <c r="Q584" s="1067"/>
      <c r="R584" s="296"/>
      <c r="S584" s="296"/>
      <c r="T584" s="1067"/>
      <c r="U584" s="1389"/>
      <c r="V584" s="1389"/>
      <c r="W584" s="1389"/>
      <c r="X584" s="1390"/>
      <c r="Y584" s="1390"/>
      <c r="Z584" s="125"/>
      <c r="AA584" s="125"/>
      <c r="AB584" s="5"/>
      <c r="AC584" s="5"/>
      <c r="AD584" s="5"/>
      <c r="AE584" s="5"/>
      <c r="AF584" s="5"/>
      <c r="AG584" s="5"/>
      <c r="AQ584" s="5"/>
      <c r="AR584" s="5"/>
      <c r="AS584" s="5"/>
      <c r="AT584" s="5"/>
      <c r="AU584" s="5"/>
      <c r="AV584" s="5"/>
      <c r="AX584" s="3"/>
      <c r="AZ584" s="5"/>
    </row>
    <row r="585" spans="1:76" ht="15" customHeight="1">
      <c r="A585" s="5"/>
      <c r="B585" s="5"/>
      <c r="C585" s="125"/>
      <c r="D585" s="1067" t="s">
        <v>318</v>
      </c>
      <c r="E585" s="1376" t="s">
        <v>316</v>
      </c>
      <c r="F585" s="1067">
        <v>1</v>
      </c>
      <c r="G585" s="1067"/>
      <c r="H585" s="1067" t="s">
        <v>337</v>
      </c>
      <c r="I585" s="1067">
        <v>0.2</v>
      </c>
      <c r="J585" s="1067"/>
      <c r="K585" s="1067"/>
      <c r="L585" s="1437" t="s">
        <v>338</v>
      </c>
      <c r="M585" s="1437"/>
      <c r="N585" s="1437" t="s">
        <v>331</v>
      </c>
      <c r="O585" s="1387">
        <v>30</v>
      </c>
      <c r="P585" s="1387"/>
      <c r="Q585" s="1387"/>
      <c r="R585" s="1067" t="s">
        <v>324</v>
      </c>
      <c r="S585" s="296"/>
      <c r="T585" s="1067" t="s">
        <v>316</v>
      </c>
      <c r="U585" s="1375">
        <f>1+0.2*LOG((O585/0.2))</f>
        <v>1.4352182518111363</v>
      </c>
      <c r="V585" s="1375"/>
      <c r="W585" s="1375"/>
      <c r="X585" s="296"/>
      <c r="Y585" s="296"/>
      <c r="Z585" s="125"/>
      <c r="AA585" s="125"/>
      <c r="AB585" s="5"/>
      <c r="AC585" s="5"/>
      <c r="AD585" s="5"/>
      <c r="AO585" s="274"/>
      <c r="AP585" s="274"/>
      <c r="AV585" s="5"/>
      <c r="AX585" s="3"/>
      <c r="AZ585" s="5"/>
    </row>
    <row r="586" spans="1:76" ht="15" customHeight="1">
      <c r="A586" s="5"/>
      <c r="B586" s="5"/>
      <c r="C586" s="125"/>
      <c r="D586" s="1067"/>
      <c r="E586" s="1376"/>
      <c r="F586" s="1067"/>
      <c r="G586" s="1067"/>
      <c r="H586" s="1067"/>
      <c r="I586" s="1067"/>
      <c r="J586" s="1067"/>
      <c r="K586" s="1067"/>
      <c r="L586" s="1437"/>
      <c r="M586" s="1437"/>
      <c r="N586" s="1437"/>
      <c r="O586" s="1391">
        <v>0.1</v>
      </c>
      <c r="P586" s="1391"/>
      <c r="Q586" s="1391"/>
      <c r="R586" s="1067"/>
      <c r="S586" s="296"/>
      <c r="T586" s="1067"/>
      <c r="U586" s="1375"/>
      <c r="V586" s="1375"/>
      <c r="W586" s="1375"/>
      <c r="X586" s="296"/>
      <c r="Y586" s="296"/>
      <c r="Z586" s="125"/>
      <c r="AA586" s="125"/>
      <c r="AB586" s="5"/>
      <c r="AC586" s="5"/>
      <c r="AD586" s="5"/>
      <c r="AK586" s="559"/>
      <c r="AS586" s="559"/>
      <c r="AV586" s="5"/>
      <c r="AX586" s="3"/>
      <c r="AZ586" s="5"/>
    </row>
    <row r="587" spans="1:76" ht="15" customHeight="1">
      <c r="C587" s="368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5"/>
      <c r="AD587" s="5"/>
      <c r="AM587" s="529"/>
      <c r="AV587" s="5"/>
      <c r="AX587" s="3"/>
      <c r="AZ587" s="5"/>
    </row>
    <row r="588" spans="1:76" ht="15" customHeight="1">
      <c r="C588" s="131" t="s">
        <v>524</v>
      </c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5"/>
      <c r="AD588" s="5"/>
      <c r="AE588" s="5"/>
      <c r="AF588" s="5"/>
      <c r="AG588" s="390"/>
      <c r="AQ588" s="391"/>
      <c r="AR588" s="391"/>
      <c r="AS588" s="391"/>
      <c r="AT588" s="287"/>
      <c r="AU588" s="5"/>
      <c r="AV588" s="5"/>
      <c r="AW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spans="1:76" ht="15" customHeight="1">
      <c r="C589" s="372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5"/>
      <c r="AD589" s="5"/>
      <c r="AE589" s="5"/>
      <c r="AF589" s="5"/>
      <c r="AG589" s="287"/>
      <c r="AQ589" s="287"/>
      <c r="AR589" s="287"/>
      <c r="AS589" s="287"/>
      <c r="AT589" s="287"/>
      <c r="AU589" s="5"/>
      <c r="AV589" s="5"/>
      <c r="AW589" s="5"/>
      <c r="AZ589" s="5"/>
      <c r="BA589" s="5"/>
    </row>
    <row r="590" spans="1:76" ht="15" customHeight="1">
      <c r="C590" s="369"/>
      <c r="D590" s="369" t="s">
        <v>379</v>
      </c>
      <c r="E590" s="373" t="s">
        <v>90</v>
      </c>
      <c r="F590" s="369"/>
      <c r="G590" s="369" t="s">
        <v>380</v>
      </c>
      <c r="H590" s="373" t="s">
        <v>248</v>
      </c>
      <c r="I590" s="372" t="s">
        <v>381</v>
      </c>
      <c r="J590" s="373" t="s">
        <v>90</v>
      </c>
      <c r="K590" s="85"/>
      <c r="L590" s="887">
        <f>+T512</f>
        <v>0.28000000000000003</v>
      </c>
      <c r="M590" s="887"/>
      <c r="N590" s="373" t="s">
        <v>248</v>
      </c>
      <c r="O590" s="888">
        <f>+V556</f>
        <v>22.69</v>
      </c>
      <c r="P590" s="887"/>
      <c r="Q590" s="434" t="s">
        <v>248</v>
      </c>
      <c r="R590" s="889">
        <v>0</v>
      </c>
      <c r="S590" s="889"/>
      <c r="V590" s="164" t="s">
        <v>90</v>
      </c>
      <c r="W590" s="890">
        <f>+L590+O590+R590</f>
        <v>22.970000000000002</v>
      </c>
      <c r="X590" s="891"/>
      <c r="Y590" s="891"/>
      <c r="Z590" s="234" t="s">
        <v>382</v>
      </c>
      <c r="AA590" s="85"/>
      <c r="AB590" s="5"/>
      <c r="AD590" s="5"/>
      <c r="AE590" s="5"/>
      <c r="AF590" s="5"/>
      <c r="AG590" s="306"/>
      <c r="AQ590" s="287"/>
      <c r="AR590" s="287"/>
      <c r="AS590" s="287"/>
      <c r="AT590" s="287"/>
      <c r="AU590" s="5"/>
      <c r="AV590" s="5"/>
      <c r="AW590" s="5"/>
      <c r="AZ590" s="5"/>
      <c r="BA590" s="5"/>
    </row>
    <row r="591" spans="1:76" ht="15" customHeight="1">
      <c r="AB591" s="5"/>
      <c r="AD591" s="5"/>
      <c r="AE591" s="5"/>
      <c r="AF591" s="5"/>
      <c r="AG591" s="287"/>
      <c r="AQ591" s="287"/>
      <c r="AR591" s="287"/>
      <c r="AS591" s="287"/>
      <c r="AT591" s="287"/>
      <c r="AU591" s="5"/>
      <c r="AV591" s="5"/>
      <c r="AW591" s="5"/>
      <c r="AZ591" s="5"/>
      <c r="BA591" s="5"/>
    </row>
    <row r="592" spans="1:76" ht="15" customHeight="1"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240"/>
      <c r="AB592" s="5"/>
      <c r="AD592" s="5"/>
      <c r="AE592" s="5"/>
      <c r="AF592" s="5"/>
      <c r="AG592" s="5"/>
      <c r="AH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Z592" s="5"/>
      <c r="BA592" s="5"/>
    </row>
    <row r="593" spans="2:75" ht="15" customHeight="1"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240"/>
      <c r="AB593" s="5"/>
      <c r="AD593" s="5"/>
      <c r="AE593" s="5"/>
      <c r="AF593" s="5"/>
      <c r="AG593" s="5"/>
      <c r="AH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Z593" s="5"/>
      <c r="BA593" s="5"/>
    </row>
    <row r="594" spans="2:75" ht="15" customHeight="1"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240"/>
      <c r="AB594" s="5"/>
      <c r="AD594" s="5"/>
      <c r="AE594" s="5"/>
      <c r="AF594" s="5"/>
      <c r="AG594" s="5"/>
      <c r="AH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Z594" s="5"/>
      <c r="BA594" s="5"/>
      <c r="BB594" s="5"/>
      <c r="BC594" s="5"/>
      <c r="BD594" s="5"/>
      <c r="BE594" s="5"/>
      <c r="BF594" s="5"/>
      <c r="BG594" s="5"/>
    </row>
    <row r="595" spans="2:75" ht="15" customHeight="1">
      <c r="B595" s="641" t="s">
        <v>721</v>
      </c>
      <c r="C595" s="610"/>
      <c r="D595" s="610"/>
      <c r="E595" s="610"/>
      <c r="F595" s="610"/>
      <c r="G595" s="610"/>
      <c r="H595" s="610"/>
      <c r="I595" s="610"/>
      <c r="J595" s="610"/>
      <c r="K595" s="610"/>
      <c r="L595" s="610"/>
      <c r="M595" s="610"/>
      <c r="N595" s="610"/>
      <c r="O595" s="610"/>
      <c r="P595" s="610"/>
      <c r="Q595" s="610"/>
      <c r="R595" s="610"/>
      <c r="S595" s="610"/>
      <c r="T595" s="610"/>
      <c r="U595" s="610"/>
      <c r="V595" s="610"/>
      <c r="W595" s="610"/>
      <c r="X595" s="610"/>
      <c r="Y595" s="610"/>
      <c r="Z595" s="610"/>
      <c r="AA595" s="240"/>
      <c r="AB595" s="5"/>
      <c r="AD595" s="5"/>
      <c r="AE595" s="5"/>
      <c r="AF595" s="5"/>
      <c r="AG595" s="5"/>
      <c r="AH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Z595" s="5"/>
      <c r="BA595" s="5"/>
      <c r="BB595" s="5"/>
      <c r="BC595" s="5"/>
      <c r="BD595" s="5"/>
      <c r="BE595" s="5"/>
      <c r="BF595" s="5"/>
      <c r="BG595" s="5"/>
    </row>
    <row r="596" spans="2:75" ht="15" customHeight="1">
      <c r="B596" s="641"/>
      <c r="C596" s="610"/>
      <c r="D596" s="610"/>
      <c r="E596" s="610"/>
      <c r="F596" s="610"/>
      <c r="G596" s="610"/>
      <c r="H596" s="610"/>
      <c r="I596" s="610"/>
      <c r="J596" s="610"/>
      <c r="K596" s="610"/>
      <c r="L596" s="610"/>
      <c r="M596" s="610"/>
      <c r="N596" s="610"/>
      <c r="O596" s="610"/>
      <c r="P596" s="610"/>
      <c r="Q596" s="610"/>
      <c r="R596" s="610"/>
      <c r="S596" s="610"/>
      <c r="T596" s="610"/>
      <c r="U596" s="610"/>
      <c r="V596" s="610"/>
      <c r="W596" s="610"/>
      <c r="X596" s="610"/>
      <c r="Y596" s="610"/>
      <c r="Z596" s="610"/>
      <c r="AA596" s="240"/>
      <c r="AB596" s="5"/>
      <c r="AD596" s="5"/>
      <c r="AE596" s="5"/>
      <c r="AF596" s="5"/>
      <c r="AG596" s="5"/>
      <c r="AH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Z596" s="5"/>
      <c r="BA596" s="5"/>
      <c r="BB596" s="5"/>
      <c r="BC596" s="5"/>
      <c r="BD596" s="5"/>
      <c r="BE596" s="5"/>
      <c r="BF596" s="5"/>
      <c r="BG596" s="5"/>
    </row>
    <row r="597" spans="2:75" ht="15" customHeight="1">
      <c r="B597" s="610"/>
      <c r="C597" s="611" t="s">
        <v>707</v>
      </c>
      <c r="D597" s="611" t="s">
        <v>238</v>
      </c>
      <c r="E597" s="643" t="s">
        <v>722</v>
      </c>
      <c r="F597" s="643"/>
      <c r="G597" s="643"/>
      <c r="H597" s="643"/>
      <c r="I597" s="643"/>
      <c r="J597" s="643"/>
      <c r="K597" s="643"/>
      <c r="L597" s="674"/>
      <c r="M597" s="674"/>
      <c r="N597" s="674"/>
      <c r="O597" s="674"/>
      <c r="P597" s="674"/>
      <c r="Q597" s="610"/>
      <c r="R597" s="610"/>
      <c r="S597" s="610"/>
      <c r="T597" s="610"/>
      <c r="U597" s="610"/>
      <c r="V597" s="610"/>
      <c r="W597" s="610"/>
      <c r="X597" s="610"/>
      <c r="Y597" s="610"/>
      <c r="Z597" s="610"/>
      <c r="AA597" s="240"/>
      <c r="AB597" s="5"/>
      <c r="AD597" s="5"/>
      <c r="AE597" s="5"/>
      <c r="AF597" s="5"/>
      <c r="AG597" s="5"/>
      <c r="AH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Z597" s="5"/>
      <c r="BA597" s="5"/>
      <c r="BB597" s="5"/>
      <c r="BC597" s="5"/>
      <c r="BD597" s="5"/>
      <c r="BE597" s="5"/>
      <c r="BF597" s="5"/>
      <c r="BG597" s="5"/>
    </row>
    <row r="598" spans="2:75" ht="15" customHeight="1">
      <c r="B598" s="610"/>
      <c r="C598" s="611"/>
      <c r="D598" s="611" t="s">
        <v>601</v>
      </c>
      <c r="E598" s="894">
        <f>+N521-Q521</f>
        <v>82.6</v>
      </c>
      <c r="F598" s="894"/>
      <c r="G598" s="894"/>
      <c r="H598" s="611" t="s">
        <v>622</v>
      </c>
      <c r="I598" s="894">
        <f>+B521</f>
        <v>3.8</v>
      </c>
      <c r="J598" s="895"/>
      <c r="K598" s="646" t="s">
        <v>723</v>
      </c>
      <c r="L598" s="643" t="s">
        <v>724</v>
      </c>
      <c r="M598" s="896">
        <f>+BA556</f>
        <v>0.4</v>
      </c>
      <c r="N598" s="895"/>
      <c r="O598" s="675" t="s">
        <v>725</v>
      </c>
      <c r="P598" s="897">
        <f>+AY557</f>
        <v>116032</v>
      </c>
      <c r="Q598" s="897"/>
      <c r="R598" s="897"/>
      <c r="S598" s="611" t="s">
        <v>622</v>
      </c>
      <c r="T598" s="849">
        <f>T601</f>
        <v>0.88700000000000001</v>
      </c>
      <c r="U598" s="848"/>
      <c r="V598" s="611" t="s">
        <v>601</v>
      </c>
      <c r="W598" s="860">
        <f>ROUND(E598*I598*(1-M598^2)/P598*T598*1000,1)</f>
        <v>2</v>
      </c>
      <c r="X598" s="860"/>
      <c r="Y598" s="610" t="s">
        <v>726</v>
      </c>
      <c r="Z598" s="610"/>
      <c r="AA598" s="240"/>
      <c r="AB598" s="5"/>
      <c r="AD598" s="5"/>
      <c r="AE598" s="5"/>
      <c r="AF598" s="5"/>
      <c r="AG598" s="5"/>
      <c r="AH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Z598" s="5"/>
      <c r="BA598" s="5"/>
      <c r="BB598" s="5"/>
      <c r="BC598" s="5"/>
      <c r="BD598" s="5"/>
      <c r="BE598" s="5"/>
      <c r="BF598" s="5"/>
      <c r="BG598" s="5"/>
    </row>
    <row r="599" spans="2:75" ht="26.25" customHeight="1">
      <c r="B599" s="610"/>
      <c r="C599" s="643"/>
      <c r="D599" s="610"/>
      <c r="E599" s="610"/>
      <c r="F599" s="610"/>
      <c r="G599" s="610"/>
      <c r="H599" s="610"/>
      <c r="I599" s="610"/>
      <c r="J599" s="610"/>
      <c r="K599" s="610"/>
      <c r="L599" s="610"/>
      <c r="M599" s="610"/>
      <c r="N599" s="610"/>
      <c r="O599" s="610"/>
      <c r="P599" s="610"/>
      <c r="Q599" s="610"/>
      <c r="R599" s="610"/>
      <c r="S599" s="610"/>
      <c r="T599" s="610"/>
      <c r="U599" s="610"/>
      <c r="V599" s="610"/>
      <c r="W599" s="610"/>
      <c r="X599" s="610"/>
      <c r="Y599" s="610"/>
      <c r="Z599" s="610"/>
      <c r="AA599" s="240"/>
      <c r="AB599" s="5"/>
      <c r="AD599" s="5"/>
      <c r="AE599" s="5"/>
      <c r="AF599" s="5"/>
      <c r="AG599" s="5"/>
      <c r="AH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Z599" s="5"/>
      <c r="BA599" s="5"/>
      <c r="BB599" s="5"/>
      <c r="BC599" s="5"/>
      <c r="BD599" s="5"/>
      <c r="BE599" s="5"/>
      <c r="BF599" s="5"/>
      <c r="BG599" s="5"/>
    </row>
    <row r="600" spans="2:75" ht="25.5" customHeight="1">
      <c r="B600" s="610"/>
      <c r="C600" s="674" t="s">
        <v>674</v>
      </c>
      <c r="D600" s="674"/>
      <c r="E600" s="644" t="s">
        <v>335</v>
      </c>
      <c r="F600" s="674" t="s">
        <v>727</v>
      </c>
      <c r="G600" s="643"/>
      <c r="H600" s="643"/>
      <c r="I600" s="610"/>
      <c r="J600" s="610"/>
      <c r="K600" s="610"/>
      <c r="L600" s="644"/>
      <c r="M600" s="644" t="s">
        <v>728</v>
      </c>
      <c r="N600" s="674" t="s">
        <v>729</v>
      </c>
      <c r="O600" s="610"/>
      <c r="P600" s="643"/>
      <c r="Q600" s="610"/>
      <c r="R600" s="610"/>
      <c r="S600" s="644" t="s">
        <v>730</v>
      </c>
      <c r="T600" s="674" t="s">
        <v>731</v>
      </c>
      <c r="U600" s="643"/>
      <c r="V600" s="643"/>
      <c r="W600" s="674"/>
      <c r="X600" s="610"/>
      <c r="Y600" s="610"/>
      <c r="Z600" s="610"/>
      <c r="AA600" s="240"/>
      <c r="AB600" s="5"/>
      <c r="AD600" s="5"/>
      <c r="AE600" s="5"/>
      <c r="AF600" s="5"/>
      <c r="AG600" s="5"/>
      <c r="AH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Z600" s="5"/>
      <c r="BA600" s="5"/>
      <c r="BB600" s="5"/>
      <c r="BC600" s="5"/>
      <c r="BD600" s="5"/>
      <c r="BE600" s="5"/>
      <c r="BF600" s="5"/>
      <c r="BG600" s="5"/>
    </row>
    <row r="601" spans="2:75" ht="25.5" customHeight="1">
      <c r="B601" s="610"/>
      <c r="C601" s="674"/>
      <c r="D601" s="674"/>
      <c r="E601" s="644" t="s">
        <v>732</v>
      </c>
      <c r="F601" s="674" t="s">
        <v>733</v>
      </c>
      <c r="G601" s="643"/>
      <c r="H601" s="643"/>
      <c r="I601" s="674"/>
      <c r="J601" s="674"/>
      <c r="K601" s="610"/>
      <c r="L601" s="644"/>
      <c r="M601" s="644" t="s">
        <v>734</v>
      </c>
      <c r="N601" s="674" t="s">
        <v>735</v>
      </c>
      <c r="O601" s="643"/>
      <c r="P601" s="610"/>
      <c r="Q601" s="674"/>
      <c r="R601" s="674"/>
      <c r="S601" s="644" t="s">
        <v>601</v>
      </c>
      <c r="T601" s="898">
        <f>IF(F5=J5,G607,IF(J5/F5=2,G608,IF(FJ5/F5=5,G609,IF(J5/F5=10,G610,IF(J5/F5&lt;17,ROUND(0.0011*(J5/F5)^3-0.0289*(J5/F5)^2+0.3189*(J5/F5)+0.5889,3),3)))))</f>
        <v>0.88700000000000001</v>
      </c>
      <c r="U601" s="898"/>
      <c r="V601" s="898"/>
      <c r="W601" s="610"/>
      <c r="X601" s="610"/>
      <c r="Y601" s="610"/>
      <c r="Z601" s="610"/>
      <c r="AA601" s="240"/>
      <c r="AB601" s="5"/>
      <c r="AD601" s="5"/>
      <c r="AE601" s="5"/>
      <c r="AF601" s="5"/>
      <c r="AG601" s="5"/>
      <c r="AH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Z601" s="5"/>
      <c r="BA601" s="5"/>
      <c r="BB601" s="5"/>
      <c r="BC601" s="5"/>
      <c r="BD601" s="5"/>
      <c r="BE601" s="5"/>
      <c r="BF601" s="5"/>
      <c r="BG601" s="5"/>
    </row>
    <row r="602" spans="2:75" ht="25.5" customHeight="1">
      <c r="B602" s="610"/>
      <c r="C602" s="610"/>
      <c r="D602" s="643"/>
      <c r="E602" s="674"/>
      <c r="F602" s="674"/>
      <c r="G602" s="674"/>
      <c r="H602" s="643"/>
      <c r="I602" s="610"/>
      <c r="J602" s="674"/>
      <c r="K602" s="674"/>
      <c r="L602" s="644"/>
      <c r="M602" s="676"/>
      <c r="N602" s="676"/>
      <c r="O602" s="676"/>
      <c r="P602" s="610"/>
      <c r="Q602" s="610"/>
      <c r="R602" s="610"/>
      <c r="S602" s="610"/>
      <c r="T602" s="610"/>
      <c r="U602" s="610"/>
      <c r="V602" s="610"/>
      <c r="W602" s="610"/>
      <c r="X602" s="610"/>
      <c r="Y602" s="610"/>
      <c r="Z602" s="610"/>
      <c r="AA602" s="240"/>
      <c r="AB602" s="5"/>
      <c r="AD602" s="5"/>
      <c r="AE602" s="5"/>
      <c r="AF602" s="5"/>
      <c r="AG602" s="5"/>
      <c r="AH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Z602" s="5"/>
      <c r="BA602" s="5"/>
      <c r="BB602" s="5"/>
      <c r="BC602" s="5"/>
      <c r="BD602" s="5"/>
      <c r="BE602" s="5"/>
      <c r="BF602" s="5"/>
      <c r="BG602" s="5"/>
    </row>
    <row r="603" spans="2:75" ht="25.5" customHeight="1" thickBot="1">
      <c r="B603" s="610"/>
      <c r="C603" s="610" t="s">
        <v>736</v>
      </c>
      <c r="D603" s="610" t="s">
        <v>737</v>
      </c>
      <c r="E603" s="610"/>
      <c r="F603" s="610"/>
      <c r="G603" s="610"/>
      <c r="H603" s="610"/>
      <c r="I603" s="674"/>
      <c r="J603" s="674"/>
      <c r="K603" s="674"/>
      <c r="L603" s="674"/>
      <c r="M603" s="674"/>
      <c r="N603" s="674"/>
      <c r="O603" s="674"/>
      <c r="P603" s="674"/>
      <c r="Q603" s="610"/>
      <c r="R603" s="610"/>
      <c r="S603" s="610"/>
      <c r="T603" s="610"/>
      <c r="U603" s="610"/>
      <c r="V603" s="610"/>
      <c r="W603" s="610"/>
      <c r="X603" s="610"/>
      <c r="Y603" s="610"/>
      <c r="Z603" s="610"/>
      <c r="AA603" s="240"/>
      <c r="AB603" s="5"/>
      <c r="AD603" s="5"/>
      <c r="AE603" s="5"/>
      <c r="AF603" s="5"/>
      <c r="AG603" s="5"/>
      <c r="AH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Z603" s="5"/>
      <c r="BA603" s="5"/>
      <c r="BB603" s="5"/>
      <c r="BC603" s="5"/>
      <c r="BD603" s="5"/>
      <c r="BE603" s="5"/>
      <c r="BF603" s="5"/>
      <c r="BG603" s="5"/>
    </row>
    <row r="604" spans="2:75" ht="25.5" customHeight="1">
      <c r="B604" s="610"/>
      <c r="C604" s="899" t="s">
        <v>738</v>
      </c>
      <c r="D604" s="900"/>
      <c r="E604" s="900"/>
      <c r="F604" s="900"/>
      <c r="G604" s="903" t="s">
        <v>739</v>
      </c>
      <c r="H604" s="900"/>
      <c r="I604" s="900" t="s">
        <v>740</v>
      </c>
      <c r="J604" s="900"/>
      <c r="K604" s="900"/>
      <c r="L604" s="900"/>
      <c r="M604" s="900"/>
      <c r="N604" s="900"/>
      <c r="O604" s="900"/>
      <c r="P604" s="904"/>
      <c r="Q604" s="610"/>
      <c r="R604" s="610"/>
      <c r="S604" s="610"/>
      <c r="T604" s="610"/>
      <c r="U604" s="610"/>
      <c r="V604" s="610"/>
      <c r="W604" s="610"/>
      <c r="X604" s="610"/>
      <c r="Y604" s="610"/>
      <c r="Z604" s="610"/>
      <c r="AA604" s="240"/>
      <c r="AB604" s="5"/>
      <c r="AD604" s="5"/>
      <c r="AE604" s="5"/>
      <c r="AF604" s="5"/>
      <c r="AG604" s="5"/>
      <c r="AH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Z604" s="5"/>
      <c r="BA604" s="5"/>
      <c r="BB604" s="5"/>
      <c r="BC604" s="5"/>
      <c r="BD604" s="5"/>
      <c r="BE604" s="5"/>
      <c r="BF604" s="5"/>
      <c r="BG604" s="5"/>
      <c r="BO604" s="309"/>
      <c r="BP604" s="309"/>
      <c r="BQ604" s="309"/>
      <c r="BR604" s="309"/>
    </row>
    <row r="605" spans="2:75" ht="25.5" customHeight="1" thickBot="1">
      <c r="B605" s="610"/>
      <c r="C605" s="901"/>
      <c r="D605" s="902"/>
      <c r="E605" s="902"/>
      <c r="F605" s="902"/>
      <c r="G605" s="902"/>
      <c r="H605" s="902"/>
      <c r="I605" s="902" t="s">
        <v>741</v>
      </c>
      <c r="J605" s="902"/>
      <c r="K605" s="902" t="s">
        <v>742</v>
      </c>
      <c r="L605" s="902"/>
      <c r="M605" s="902" t="s">
        <v>743</v>
      </c>
      <c r="N605" s="902"/>
      <c r="O605" s="902" t="s">
        <v>744</v>
      </c>
      <c r="P605" s="905"/>
      <c r="Q605" s="610"/>
      <c r="R605" s="610"/>
      <c r="S605" s="610"/>
      <c r="T605" s="610"/>
      <c r="U605" s="610"/>
      <c r="V605" s="610"/>
      <c r="W605" s="610"/>
      <c r="X605" s="610"/>
      <c r="Y605" s="610"/>
      <c r="Z605" s="610"/>
      <c r="AA605" s="240"/>
      <c r="AB605" s="5"/>
      <c r="AD605" s="5"/>
      <c r="AE605" s="5"/>
      <c r="AF605" s="5"/>
      <c r="AG605" s="5"/>
      <c r="AH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Z605" s="5"/>
      <c r="BA605" s="5"/>
      <c r="BB605" s="5"/>
      <c r="BC605" s="5"/>
      <c r="BD605" s="5"/>
      <c r="BE605" s="5"/>
      <c r="BF605" s="5"/>
      <c r="BG605" s="5"/>
      <c r="BO605" s="309"/>
      <c r="BP605" s="309"/>
      <c r="BQ605" s="309"/>
      <c r="BR605" s="309"/>
      <c r="BS605" s="309"/>
      <c r="BT605" s="309"/>
      <c r="BU605" s="1430"/>
      <c r="BV605" s="309"/>
      <c r="BW605" s="309"/>
    </row>
    <row r="606" spans="2:75" ht="25.5" customHeight="1" thickTop="1">
      <c r="B606" s="610"/>
      <c r="C606" s="969" t="s">
        <v>745</v>
      </c>
      <c r="D606" s="970"/>
      <c r="E606" s="970"/>
      <c r="F606" s="970"/>
      <c r="G606" s="971">
        <v>0.78500000000000003</v>
      </c>
      <c r="H606" s="971"/>
      <c r="I606" s="971">
        <v>1</v>
      </c>
      <c r="J606" s="971"/>
      <c r="K606" s="971">
        <v>0.63700000000000001</v>
      </c>
      <c r="L606" s="971"/>
      <c r="M606" s="970" t="s">
        <v>746</v>
      </c>
      <c r="N606" s="970"/>
      <c r="O606" s="971">
        <v>0.84799999999999998</v>
      </c>
      <c r="P606" s="972"/>
      <c r="Q606" s="610"/>
      <c r="R606" s="610"/>
      <c r="S606" s="610"/>
      <c r="T606" s="610"/>
      <c r="U606" s="610"/>
      <c r="V606" s="610"/>
      <c r="W606" s="610"/>
      <c r="X606" s="610"/>
      <c r="Y606" s="610"/>
      <c r="Z606" s="610"/>
      <c r="AA606" s="240"/>
      <c r="AB606" s="5"/>
      <c r="AD606" s="5"/>
      <c r="AE606" s="5"/>
      <c r="AF606" s="5"/>
      <c r="AG606" s="5"/>
      <c r="AH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Z606" s="5"/>
      <c r="BA606" s="5"/>
      <c r="BB606" s="5"/>
      <c r="BC606" s="5"/>
      <c r="BD606" s="5"/>
      <c r="BE606" s="5"/>
      <c r="BF606" s="5"/>
      <c r="BG606" s="5"/>
      <c r="BS606" s="309"/>
      <c r="BT606" s="309"/>
      <c r="BU606" s="1430"/>
      <c r="BV606" s="309"/>
      <c r="BW606" s="309"/>
    </row>
    <row r="607" spans="2:75" ht="25.5" customHeight="1">
      <c r="B607" s="610"/>
      <c r="C607" s="973" t="s">
        <v>747</v>
      </c>
      <c r="D607" s="974"/>
      <c r="E607" s="974"/>
      <c r="F607" s="974"/>
      <c r="G607" s="975">
        <v>0.88</v>
      </c>
      <c r="H607" s="975"/>
      <c r="I607" s="975">
        <v>1.1200000000000001</v>
      </c>
      <c r="J607" s="975"/>
      <c r="K607" s="975">
        <v>0.76</v>
      </c>
      <c r="L607" s="975"/>
      <c r="M607" s="975">
        <v>0.56000000000000005</v>
      </c>
      <c r="N607" s="975"/>
      <c r="O607" s="975">
        <v>0.95</v>
      </c>
      <c r="P607" s="976"/>
      <c r="Q607" s="610"/>
      <c r="R607" s="610"/>
      <c r="S607" s="610"/>
      <c r="T607" s="610"/>
      <c r="U607" s="610"/>
      <c r="V607" s="610"/>
      <c r="W607" s="610"/>
      <c r="X607" s="610"/>
      <c r="Y607" s="610"/>
      <c r="Z607" s="610"/>
      <c r="AA607" s="240"/>
      <c r="AB607" s="5"/>
      <c r="AD607" s="5"/>
      <c r="AE607" s="5"/>
      <c r="AF607" s="5"/>
      <c r="AG607" s="5"/>
      <c r="AH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Z607" s="5"/>
      <c r="BA607" s="5"/>
      <c r="BB607" s="5"/>
      <c r="BC607" s="5"/>
      <c r="BD607" s="5"/>
      <c r="BE607" s="5"/>
      <c r="BF607" s="5"/>
      <c r="BG607" s="5"/>
    </row>
    <row r="608" spans="2:75" ht="15" customHeight="1">
      <c r="B608" s="610"/>
      <c r="C608" s="977" t="s">
        <v>748</v>
      </c>
      <c r="D608" s="974"/>
      <c r="E608" s="974" t="s">
        <v>749</v>
      </c>
      <c r="F608" s="974"/>
      <c r="G608" s="975">
        <v>1.1200000000000001</v>
      </c>
      <c r="H608" s="975"/>
      <c r="I608" s="975">
        <v>1.53</v>
      </c>
      <c r="J608" s="975"/>
      <c r="K608" s="975">
        <v>1.1200000000000001</v>
      </c>
      <c r="L608" s="975"/>
      <c r="M608" s="975">
        <v>0.76</v>
      </c>
      <c r="N608" s="975"/>
      <c r="O608" s="975">
        <v>1.3</v>
      </c>
      <c r="P608" s="976"/>
      <c r="Q608" s="610"/>
      <c r="R608" s="610"/>
      <c r="S608" s="610"/>
      <c r="T608" s="610"/>
      <c r="U608" s="610"/>
      <c r="V608" s="610"/>
      <c r="W608" s="610"/>
      <c r="X608" s="610"/>
      <c r="Y608" s="610"/>
      <c r="Z608" s="610"/>
      <c r="AA608" s="240"/>
      <c r="AB608" s="5"/>
      <c r="AD608" s="5"/>
      <c r="AE608" s="5"/>
      <c r="AF608" s="5"/>
      <c r="AG608" s="5"/>
      <c r="AH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Z608" s="5"/>
      <c r="BA608" s="5"/>
      <c r="BB608" s="5"/>
      <c r="BC608" s="5"/>
      <c r="BD608" s="5"/>
      <c r="BE608" s="5"/>
      <c r="BF608" s="5"/>
      <c r="BG608" s="5"/>
    </row>
    <row r="609" spans="2:59" ht="15" customHeight="1">
      <c r="B609" s="610"/>
      <c r="C609" s="973"/>
      <c r="D609" s="974"/>
      <c r="E609" s="974" t="s">
        <v>750</v>
      </c>
      <c r="F609" s="974"/>
      <c r="G609" s="975">
        <v>1.6</v>
      </c>
      <c r="H609" s="975"/>
      <c r="I609" s="975">
        <v>2.1</v>
      </c>
      <c r="J609" s="975"/>
      <c r="K609" s="975">
        <v>1.68</v>
      </c>
      <c r="L609" s="975"/>
      <c r="M609" s="975">
        <v>1.05</v>
      </c>
      <c r="N609" s="975"/>
      <c r="O609" s="975">
        <v>1.82</v>
      </c>
      <c r="P609" s="976"/>
      <c r="Q609" s="610"/>
      <c r="R609" s="610"/>
      <c r="S609" s="610"/>
      <c r="T609" s="610"/>
      <c r="U609" s="610"/>
      <c r="V609" s="610"/>
      <c r="W609" s="610"/>
      <c r="X609" s="610"/>
      <c r="Y609" s="610"/>
      <c r="Z609" s="610"/>
      <c r="AA609" s="240"/>
      <c r="AB609" s="5"/>
      <c r="AW609" s="5"/>
      <c r="AZ609" s="5"/>
      <c r="BA609" s="5"/>
      <c r="BB609" s="5"/>
      <c r="BC609" s="5"/>
      <c r="BD609" s="5"/>
      <c r="BE609" s="5"/>
      <c r="BF609" s="5"/>
      <c r="BG609" s="5"/>
    </row>
    <row r="610" spans="2:59" ht="15" customHeight="1" thickBot="1">
      <c r="B610" s="610"/>
      <c r="C610" s="978"/>
      <c r="D610" s="979"/>
      <c r="E610" s="979" t="s">
        <v>751</v>
      </c>
      <c r="F610" s="979"/>
      <c r="G610" s="980">
        <v>2</v>
      </c>
      <c r="H610" s="980"/>
      <c r="I610" s="980">
        <v>2.56</v>
      </c>
      <c r="J610" s="980"/>
      <c r="K610" s="980">
        <v>2.1</v>
      </c>
      <c r="L610" s="980"/>
      <c r="M610" s="980">
        <v>1.28</v>
      </c>
      <c r="N610" s="980"/>
      <c r="O610" s="980">
        <v>2.2400000000000002</v>
      </c>
      <c r="P610" s="981"/>
      <c r="Q610" s="610"/>
      <c r="R610" s="610"/>
      <c r="S610" s="610"/>
      <c r="T610" s="610"/>
      <c r="U610" s="610"/>
      <c r="V610" s="610"/>
      <c r="W610" s="610"/>
      <c r="X610" s="610"/>
      <c r="Y610" s="610"/>
      <c r="Z610" s="610"/>
      <c r="AA610" s="240"/>
      <c r="AB610" s="5"/>
      <c r="AW610" s="5"/>
      <c r="AZ610" s="5"/>
      <c r="BA610" s="5"/>
      <c r="BB610" s="5"/>
      <c r="BC610" s="5"/>
      <c r="BD610" s="5"/>
      <c r="BE610" s="5"/>
      <c r="BF610" s="5"/>
      <c r="BG610" s="5"/>
    </row>
    <row r="611" spans="2:59" ht="15" customHeight="1">
      <c r="B611" s="610"/>
      <c r="C611" s="615" t="s">
        <v>752</v>
      </c>
      <c r="D611" s="677"/>
      <c r="E611" s="677"/>
      <c r="F611" s="677"/>
      <c r="G611" s="677"/>
      <c r="H611" s="677"/>
      <c r="I611" s="677"/>
      <c r="J611" s="677"/>
      <c r="K611" s="677"/>
      <c r="L611" s="677"/>
      <c r="M611" s="677"/>
      <c r="N611" s="677"/>
      <c r="O611" s="677"/>
      <c r="P611" s="677"/>
      <c r="Q611" s="610"/>
      <c r="R611" s="610"/>
      <c r="S611" s="610"/>
      <c r="T611" s="610"/>
      <c r="U611" s="610"/>
      <c r="V611" s="610"/>
      <c r="W611" s="610"/>
      <c r="X611" s="610"/>
      <c r="Y611" s="610"/>
      <c r="Z611" s="610"/>
      <c r="AA611" s="240"/>
      <c r="AB611" s="5"/>
      <c r="AW611" s="5"/>
      <c r="AZ611" s="5"/>
      <c r="BA611" s="5"/>
      <c r="BB611" s="5"/>
      <c r="BC611" s="5"/>
      <c r="BD611" s="5"/>
      <c r="BE611" s="5"/>
      <c r="BF611" s="5"/>
      <c r="BG611" s="5"/>
    </row>
    <row r="612" spans="2:59" ht="15" customHeight="1"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240"/>
      <c r="AW612" s="5"/>
      <c r="AZ612" s="5"/>
      <c r="BA612" s="5"/>
      <c r="BB612" s="5"/>
      <c r="BC612" s="5"/>
      <c r="BD612" s="5"/>
      <c r="BE612" s="5"/>
      <c r="BF612" s="5"/>
      <c r="BG612" s="5"/>
    </row>
    <row r="613" spans="2:59" ht="15" customHeight="1">
      <c r="C613" s="131" t="s">
        <v>524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240"/>
      <c r="AH613" s="579"/>
      <c r="AI613" s="582"/>
      <c r="AJ613" s="584"/>
      <c r="AK613" s="580"/>
      <c r="AL613" s="580"/>
      <c r="AM613" s="579"/>
      <c r="AN613" s="582"/>
      <c r="AO613" s="579"/>
      <c r="AP613" s="579"/>
      <c r="AQ613" s="666"/>
      <c r="AR613" s="666"/>
      <c r="AS613" s="580"/>
      <c r="AT613" s="666"/>
      <c r="AU613" s="666"/>
      <c r="AV613" s="583"/>
    </row>
    <row r="614" spans="2:59" ht="23.25" customHeight="1">
      <c r="C614" s="372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240"/>
      <c r="AD614" s="452"/>
      <c r="AE614" s="452"/>
      <c r="AF614" s="452"/>
      <c r="AG614" s="452"/>
      <c r="AH614" s="579"/>
      <c r="AI614" s="582"/>
      <c r="AJ614" s="600"/>
      <c r="AK614" s="580"/>
      <c r="AL614" s="580"/>
      <c r="AM614" s="579"/>
      <c r="AN614" s="582"/>
      <c r="AO614" s="579"/>
      <c r="AP614" s="579"/>
      <c r="AQ614" s="580"/>
      <c r="AR614" s="580"/>
      <c r="AS614" s="580"/>
      <c r="AT614" s="580"/>
      <c r="AU614" s="580"/>
      <c r="AV614" s="583"/>
    </row>
    <row r="615" spans="2:59" ht="15" customHeight="1">
      <c r="C615" s="369"/>
      <c r="D615" s="369" t="s">
        <v>379</v>
      </c>
      <c r="E615" s="373" t="s">
        <v>90</v>
      </c>
      <c r="F615" s="369"/>
      <c r="G615" s="369" t="s">
        <v>380</v>
      </c>
      <c r="H615" s="373" t="s">
        <v>248</v>
      </c>
      <c r="I615" s="372" t="s">
        <v>381</v>
      </c>
      <c r="J615" s="373" t="s">
        <v>90</v>
      </c>
      <c r="K615" s="85"/>
      <c r="L615" s="887">
        <f>+T512</f>
        <v>0.28000000000000003</v>
      </c>
      <c r="M615" s="887"/>
      <c r="N615" s="373" t="s">
        <v>248</v>
      </c>
      <c r="O615" s="888">
        <f>+W598</f>
        <v>2</v>
      </c>
      <c r="P615" s="887"/>
      <c r="Q615" s="434" t="s">
        <v>248</v>
      </c>
      <c r="R615" s="889">
        <v>0</v>
      </c>
      <c r="S615" s="889"/>
      <c r="V615" s="164" t="s">
        <v>90</v>
      </c>
      <c r="W615" s="890">
        <f>+L615+O615+R615</f>
        <v>2.2800000000000002</v>
      </c>
      <c r="X615" s="891"/>
      <c r="Y615" s="891"/>
      <c r="Z615" s="234" t="s">
        <v>382</v>
      </c>
      <c r="AA615" s="240"/>
      <c r="AD615" s="528"/>
      <c r="AE615" s="1555"/>
      <c r="AF615" s="1555"/>
      <c r="AG615" s="452"/>
      <c r="AH615" s="452"/>
      <c r="AI615" s="353"/>
      <c r="AL615" s="353"/>
      <c r="AM615" s="353"/>
      <c r="AN615" s="353"/>
      <c r="AO615" s="353"/>
      <c r="AP615" s="301"/>
      <c r="AQ615" s="301"/>
      <c r="AR615" s="353"/>
      <c r="AS615" s="353"/>
      <c r="AT615" s="353"/>
      <c r="AU615" s="353"/>
      <c r="AV615" s="353"/>
    </row>
    <row r="616" spans="2:59" ht="27.75" customHeight="1"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240"/>
      <c r="AI616" s="300"/>
      <c r="AJ616" s="353"/>
      <c r="AK616" s="125"/>
      <c r="AL616" s="125"/>
      <c r="AM616" s="356"/>
      <c r="AN616" s="353"/>
      <c r="AO616" s="353"/>
      <c r="AP616" s="301"/>
      <c r="AQ616" s="670"/>
      <c r="AR616" s="670"/>
      <c r="AS616" s="296"/>
      <c r="AT616" s="353"/>
      <c r="AU616" s="353"/>
      <c r="AV616" s="357"/>
      <c r="BC616" s="96"/>
      <c r="BD616" s="96"/>
    </row>
    <row r="617" spans="2:59" ht="27.75" customHeight="1" thickBot="1"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240"/>
      <c r="AW617" s="667"/>
      <c r="AX617" s="667"/>
      <c r="AZ617" s="668"/>
      <c r="BA617" s="668"/>
      <c r="BC617" s="96"/>
      <c r="BD617" s="96"/>
    </row>
    <row r="618" spans="2:59" ht="15" customHeight="1" thickBot="1">
      <c r="B618" s="648" t="s">
        <v>760</v>
      </c>
      <c r="C618" s="663"/>
      <c r="D618" s="648"/>
      <c r="E618" s="663"/>
      <c r="F618" s="663"/>
      <c r="G618" s="663"/>
      <c r="H618" s="663"/>
      <c r="I618" s="663"/>
      <c r="J618" s="663"/>
      <c r="K618" s="698"/>
      <c r="L618" s="698"/>
      <c r="M618" s="663"/>
      <c r="N618" s="663"/>
      <c r="O618" s="663"/>
      <c r="P618" s="663"/>
      <c r="Q618" s="663"/>
      <c r="R618" s="663"/>
      <c r="S618" s="663"/>
      <c r="T618" s="663"/>
      <c r="U618" s="663"/>
      <c r="V618" s="663"/>
      <c r="W618" s="663"/>
      <c r="X618" s="663"/>
      <c r="Y618" s="663"/>
      <c r="Z618" s="663"/>
      <c r="AA618" s="240"/>
      <c r="AB618" s="307"/>
      <c r="AW618" s="585"/>
      <c r="AX618" s="585"/>
    </row>
    <row r="619" spans="2:59" ht="15" customHeight="1" thickBot="1">
      <c r="B619" s="719"/>
      <c r="C619" s="720"/>
      <c r="D619" s="719"/>
      <c r="E619" s="720"/>
      <c r="F619" s="720"/>
      <c r="G619" s="615"/>
      <c r="H619" s="615"/>
      <c r="I619" s="615"/>
      <c r="J619" s="615"/>
      <c r="K619" s="699"/>
      <c r="L619" s="699"/>
      <c r="M619" s="615"/>
      <c r="N619" s="615"/>
      <c r="O619" s="615"/>
      <c r="P619" s="615"/>
      <c r="Q619" s="615"/>
      <c r="R619" s="615"/>
      <c r="S619" s="615"/>
      <c r="T619" s="615"/>
      <c r="U619" s="615"/>
      <c r="V619" s="615"/>
      <c r="W619" s="615"/>
      <c r="X619" s="615"/>
      <c r="Y619" s="615"/>
      <c r="Z619" s="647" t="s">
        <v>755</v>
      </c>
      <c r="AA619" s="240"/>
      <c r="AB619" s="308"/>
      <c r="AW619" s="353"/>
      <c r="AX619" s="301"/>
      <c r="AY619" s="3"/>
      <c r="AZ619" s="125"/>
      <c r="BA619" s="669"/>
      <c r="BB619" s="669"/>
    </row>
    <row r="620" spans="2:59" ht="26.25" customHeight="1" thickBot="1">
      <c r="B620" s="1564" t="s">
        <v>698</v>
      </c>
      <c r="C620" s="1564"/>
      <c r="D620" s="1564"/>
      <c r="E620" s="1564"/>
      <c r="F620" s="1565"/>
      <c r="G620" s="892" t="s">
        <v>756</v>
      </c>
      <c r="H620" s="892"/>
      <c r="I620" s="892"/>
      <c r="J620" s="892"/>
      <c r="K620" s="892" t="s">
        <v>757</v>
      </c>
      <c r="L620" s="892"/>
      <c r="M620" s="892"/>
      <c r="N620" s="892"/>
      <c r="O620" s="892" t="s">
        <v>758</v>
      </c>
      <c r="P620" s="892"/>
      <c r="Q620" s="892"/>
      <c r="R620" s="892"/>
      <c r="S620" s="892" t="s">
        <v>759</v>
      </c>
      <c r="T620" s="892"/>
      <c r="U620" s="892"/>
      <c r="V620" s="892"/>
      <c r="W620" s="892" t="s">
        <v>702</v>
      </c>
      <c r="X620" s="892"/>
      <c r="Y620" s="892"/>
      <c r="Z620" s="893"/>
      <c r="AA620" s="240"/>
      <c r="AB620" s="309"/>
      <c r="AW620" s="353"/>
      <c r="AX620" s="353"/>
      <c r="AY620" s="301"/>
      <c r="AZ620" s="125"/>
      <c r="BA620" s="669"/>
      <c r="BB620" s="669"/>
    </row>
    <row r="621" spans="2:59" ht="25.5" customHeight="1" thickTop="1" thickBot="1">
      <c r="B621" s="848" t="s">
        <v>705</v>
      </c>
      <c r="C621" s="848"/>
      <c r="D621" s="848"/>
      <c r="E621" s="848"/>
      <c r="F621" s="1436"/>
      <c r="G621" s="1506">
        <f>+W590</f>
        <v>22.970000000000002</v>
      </c>
      <c r="H621" s="1506"/>
      <c r="I621" s="1506"/>
      <c r="J621" s="1506"/>
      <c r="K621" s="1506">
        <f>+W615</f>
        <v>2.2800000000000002</v>
      </c>
      <c r="L621" s="1506"/>
      <c r="M621" s="1506"/>
      <c r="N621" s="1506"/>
      <c r="O621" s="1506">
        <f>MAX(G621,K621)</f>
        <v>22.970000000000002</v>
      </c>
      <c r="P621" s="1506"/>
      <c r="Q621" s="1506"/>
      <c r="R621" s="1506"/>
      <c r="S621" s="1506">
        <v>25</v>
      </c>
      <c r="T621" s="1506"/>
      <c r="U621" s="1506"/>
      <c r="V621" s="1506"/>
      <c r="W621" s="1507" t="str">
        <f>IF(O621&lt;S621, "안     정", "불 안 정")</f>
        <v>안     정</v>
      </c>
      <c r="X621" s="1507"/>
      <c r="Y621" s="1507"/>
      <c r="Z621" s="1508"/>
      <c r="AA621" s="240"/>
      <c r="AB621" s="240"/>
      <c r="AX621" s="3"/>
      <c r="AY621" s="57"/>
      <c r="AZ621" s="57"/>
      <c r="BA621" s="665"/>
      <c r="BB621" s="665"/>
      <c r="BC621" s="665"/>
    </row>
    <row r="622" spans="2:59" ht="23.25" customHeight="1">
      <c r="B622" s="718"/>
      <c r="C622" s="717"/>
      <c r="D622" s="717"/>
      <c r="E622" s="717"/>
      <c r="F622" s="717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240"/>
      <c r="AB622" s="240"/>
      <c r="AX622" s="3"/>
      <c r="AY622" s="3"/>
    </row>
    <row r="623" spans="2:59" ht="24" customHeight="1"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240"/>
      <c r="AB623" s="240"/>
      <c r="AX623" s="3"/>
      <c r="AY623" s="3"/>
    </row>
    <row r="624" spans="2:59" ht="15" customHeight="1"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240"/>
      <c r="AX624" s="3"/>
      <c r="AY624" s="3"/>
    </row>
    <row r="625" spans="2:75" ht="24" customHeight="1">
      <c r="B625" s="1400" t="s">
        <v>339</v>
      </c>
      <c r="C625" s="1400"/>
      <c r="D625" s="1400"/>
      <c r="E625" s="1400"/>
      <c r="F625" s="1400"/>
      <c r="G625" s="1400"/>
      <c r="H625" s="1400"/>
      <c r="I625" s="1400"/>
      <c r="J625" s="1400"/>
      <c r="K625" s="1400"/>
      <c r="L625" s="1400"/>
      <c r="M625" s="1400"/>
      <c r="N625" s="1400"/>
      <c r="O625" s="1400"/>
      <c r="P625" s="1400"/>
      <c r="Q625" s="1400"/>
      <c r="R625" s="1400"/>
      <c r="S625" s="1401">
        <f>+O621</f>
        <v>22.970000000000002</v>
      </c>
      <c r="T625" s="1401"/>
      <c r="U625" s="1401"/>
      <c r="V625" s="1401"/>
      <c r="W625" s="1401"/>
      <c r="X625" s="1401"/>
      <c r="Y625" s="1401"/>
      <c r="Z625" s="1401"/>
      <c r="AA625" s="307"/>
      <c r="AX625" s="3"/>
      <c r="AY625" s="3"/>
    </row>
    <row r="626" spans="2:75" ht="15" customHeight="1">
      <c r="B626" s="1402" t="s">
        <v>340</v>
      </c>
      <c r="C626" s="1402"/>
      <c r="D626" s="1402"/>
      <c r="E626" s="1402"/>
      <c r="F626" s="1402"/>
      <c r="G626" s="1402"/>
      <c r="H626" s="1402"/>
      <c r="I626" s="1402"/>
      <c r="J626" s="1402"/>
      <c r="K626" s="1402"/>
      <c r="L626" s="1402"/>
      <c r="M626" s="1402"/>
      <c r="N626" s="1402"/>
      <c r="O626" s="1402"/>
      <c r="P626" s="1402"/>
      <c r="Q626" s="1402"/>
      <c r="R626" s="1402"/>
      <c r="S626" s="1403">
        <v>25</v>
      </c>
      <c r="T626" s="1403"/>
      <c r="U626" s="1403"/>
      <c r="V626" s="1403"/>
      <c r="W626" s="1403"/>
      <c r="X626" s="1403"/>
      <c r="Y626" s="1403"/>
      <c r="Z626" s="1403"/>
      <c r="AA626" s="308"/>
      <c r="AX626" s="3"/>
      <c r="AY626" s="3"/>
    </row>
    <row r="627" spans="2:75" ht="15" customHeight="1">
      <c r="B627" s="1404" t="s">
        <v>341</v>
      </c>
      <c r="C627" s="1404"/>
      <c r="D627" s="1404"/>
      <c r="E627" s="1404"/>
      <c r="F627" s="1404"/>
      <c r="G627" s="1404"/>
      <c r="H627" s="1404"/>
      <c r="I627" s="1404"/>
      <c r="J627" s="1404"/>
      <c r="K627" s="1404"/>
      <c r="L627" s="1404"/>
      <c r="M627" s="1404"/>
      <c r="N627" s="1404"/>
      <c r="O627" s="1404"/>
      <c r="P627" s="1404"/>
      <c r="Q627" s="1404"/>
      <c r="R627" s="1404"/>
      <c r="S627" s="1404" t="str">
        <f>IF(S625 &lt;= S626, "O.K", "N.G")</f>
        <v>O.K</v>
      </c>
      <c r="T627" s="1404"/>
      <c r="U627" s="1404"/>
      <c r="V627" s="1404"/>
      <c r="W627" s="1404"/>
      <c r="X627" s="1404"/>
      <c r="Y627" s="1404"/>
      <c r="Z627" s="1404"/>
      <c r="AA627" s="309"/>
      <c r="AX627" s="3"/>
      <c r="AY627" s="3"/>
    </row>
    <row r="628" spans="2:75" ht="15" customHeight="1"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X628" s="3"/>
      <c r="AY628" s="3"/>
    </row>
    <row r="629" spans="2:75" ht="15" customHeight="1"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X629" s="3"/>
      <c r="AY629" s="3"/>
    </row>
    <row r="630" spans="2:75" ht="26.25" customHeight="1">
      <c r="B630" s="396" t="str">
        <f>""&amp;입력!B4&amp;" - ("&amp;AC1&amp;") 검토결과"</f>
        <v>전북 전주시 완산구 상림동 596 다세대주택 신축공사 - (지상1층) 검토결과</v>
      </c>
      <c r="C630" s="287"/>
      <c r="D630" s="287"/>
      <c r="E630" s="287"/>
      <c r="F630" s="393"/>
      <c r="G630" s="287"/>
      <c r="H630" s="397"/>
      <c r="I630" s="397"/>
      <c r="J630" s="287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  <c r="V630" s="395"/>
      <c r="W630" s="395"/>
      <c r="X630" s="395"/>
      <c r="Y630" s="287"/>
      <c r="Z630" s="287"/>
      <c r="AX630" s="3"/>
      <c r="AY630" s="3"/>
      <c r="BU630" s="5"/>
      <c r="BV630" s="5"/>
      <c r="BW630" s="5"/>
    </row>
    <row r="631" spans="2:75" ht="15" customHeight="1">
      <c r="C631" s="287"/>
      <c r="D631" s="287"/>
      <c r="E631" s="287"/>
      <c r="F631" s="393"/>
      <c r="G631" s="287"/>
      <c r="H631" s="398"/>
      <c r="I631" s="398"/>
      <c r="J631" s="287"/>
      <c r="K631" s="395"/>
      <c r="L631" s="287"/>
      <c r="M631" s="287"/>
      <c r="N631" s="287"/>
      <c r="O631" s="399"/>
      <c r="P631" s="399"/>
      <c r="Q631" s="400"/>
      <c r="R631" s="400"/>
      <c r="S631" s="400"/>
      <c r="T631" s="399"/>
      <c r="U631" s="399"/>
      <c r="V631" s="399"/>
      <c r="W631" s="399"/>
      <c r="X631" s="399"/>
      <c r="Y631" s="287"/>
      <c r="Z631" s="287"/>
      <c r="AX631" s="3"/>
      <c r="AY631" s="3"/>
      <c r="BS631" s="5"/>
      <c r="BT631" s="5"/>
    </row>
    <row r="632" spans="2:75" ht="27.75" customHeight="1"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  <c r="V632" s="395"/>
      <c r="W632" s="395"/>
      <c r="X632" s="395"/>
      <c r="Y632" s="287"/>
      <c r="Z632" s="287"/>
      <c r="AX632" s="3"/>
      <c r="AY632" s="3"/>
      <c r="BS632" s="5"/>
      <c r="BT632" s="5"/>
    </row>
    <row r="633" spans="2:75" ht="27.75" customHeight="1">
      <c r="B633" s="401" t="s">
        <v>383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9"/>
      <c r="S633" s="9"/>
      <c r="T633" s="9"/>
      <c r="U633" s="9"/>
      <c r="V633" s="9"/>
      <c r="W633" s="9"/>
      <c r="X633" s="9"/>
      <c r="Y633" s="9"/>
      <c r="Z633" s="9"/>
      <c r="AX633" s="3"/>
      <c r="AY633" s="3"/>
      <c r="BS633" s="5"/>
      <c r="BT633" s="5"/>
    </row>
    <row r="634" spans="2:75" ht="15" customHeight="1">
      <c r="B634" s="1104" t="s">
        <v>4</v>
      </c>
      <c r="C634" s="1455"/>
      <c r="D634" s="1455"/>
      <c r="E634" s="1455"/>
      <c r="F634" s="1455"/>
      <c r="G634" s="1455" t="s">
        <v>5</v>
      </c>
      <c r="H634" s="1455"/>
      <c r="I634" s="1455"/>
      <c r="J634" s="1455"/>
      <c r="K634" s="1455"/>
      <c r="L634" s="1455"/>
      <c r="M634" s="1455"/>
      <c r="N634" s="1455"/>
      <c r="O634" s="1458" t="s">
        <v>6</v>
      </c>
      <c r="P634" s="1458"/>
      <c r="Q634" s="1458"/>
      <c r="R634" s="1458"/>
      <c r="S634" s="1458" t="s">
        <v>7</v>
      </c>
      <c r="T634" s="1458"/>
      <c r="U634" s="1458"/>
      <c r="V634" s="1458"/>
      <c r="W634" s="1458"/>
      <c r="X634" s="1500" t="s">
        <v>8</v>
      </c>
      <c r="Y634" s="1500"/>
      <c r="Z634" s="1501"/>
      <c r="AX634" s="3"/>
      <c r="AY634" s="3"/>
      <c r="BS634" s="5"/>
      <c r="BT634" s="5"/>
    </row>
    <row r="635" spans="2:75" ht="26.25" customHeight="1">
      <c r="B635" s="1456"/>
      <c r="C635" s="1457"/>
      <c r="D635" s="1457"/>
      <c r="E635" s="1457"/>
      <c r="F635" s="1457"/>
      <c r="G635" s="1560" t="s">
        <v>12</v>
      </c>
      <c r="H635" s="1560"/>
      <c r="I635" s="1560"/>
      <c r="J635" s="1560"/>
      <c r="K635" s="1560" t="s">
        <v>13</v>
      </c>
      <c r="L635" s="1560"/>
      <c r="M635" s="1560"/>
      <c r="N635" s="1560"/>
      <c r="O635" s="1560" t="s">
        <v>14</v>
      </c>
      <c r="P635" s="1560"/>
      <c r="Q635" s="1560"/>
      <c r="R635" s="1560"/>
      <c r="S635" s="1459" t="s">
        <v>15</v>
      </c>
      <c r="T635" s="1459"/>
      <c r="U635" s="1459"/>
      <c r="V635" s="1459"/>
      <c r="W635" s="1459"/>
      <c r="X635" s="1460" t="s">
        <v>16</v>
      </c>
      <c r="Y635" s="1460"/>
      <c r="Z635" s="1461"/>
      <c r="AX635" s="3"/>
      <c r="AY635" s="3"/>
      <c r="BS635" s="5"/>
      <c r="BT635" s="5"/>
    </row>
    <row r="636" spans="2:75" ht="31.5" customHeight="1">
      <c r="B636" s="1497" t="str">
        <f>B5</f>
        <v>BH-1</v>
      </c>
      <c r="C636" s="1498"/>
      <c r="D636" s="1498"/>
      <c r="E636" s="1498"/>
      <c r="F636" s="1498"/>
      <c r="G636" s="1499">
        <f>+F5</f>
        <v>3.8</v>
      </c>
      <c r="H636" s="1499"/>
      <c r="I636" s="1499"/>
      <c r="J636" s="1499"/>
      <c r="K636" s="1499">
        <f>+J5</f>
        <v>3.9</v>
      </c>
      <c r="L636" s="1499"/>
      <c r="M636" s="1499"/>
      <c r="N636" s="1499"/>
      <c r="O636" s="1499">
        <f>+N5</f>
        <v>0.16</v>
      </c>
      <c r="P636" s="1499"/>
      <c r="Q636" s="1499"/>
      <c r="R636" s="1499"/>
      <c r="S636" s="1473">
        <f>+R5</f>
        <v>150</v>
      </c>
      <c r="T636" s="1473"/>
      <c r="U636" s="1473"/>
      <c r="V636" s="1473"/>
      <c r="W636" s="1473"/>
      <c r="X636" s="1453">
        <f>+V5</f>
        <v>2.72</v>
      </c>
      <c r="Y636" s="1453"/>
      <c r="Z636" s="1454"/>
      <c r="AX636" s="3"/>
      <c r="AY636" s="3"/>
      <c r="BS636" s="5"/>
      <c r="BT636" s="5"/>
    </row>
    <row r="637" spans="2:75" ht="30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9"/>
      <c r="S637" s="9"/>
      <c r="T637" s="9"/>
      <c r="U637" s="9"/>
      <c r="V637" s="9"/>
      <c r="W637" s="9"/>
      <c r="X637" s="9"/>
      <c r="Y637" s="9"/>
      <c r="Z637" s="9"/>
      <c r="AX637" s="3"/>
      <c r="AY637" s="3"/>
      <c r="BS637" s="5"/>
      <c r="BT637" s="5"/>
    </row>
    <row r="638" spans="2:75" ht="37.5" customHeight="1">
      <c r="B638" s="488" t="s">
        <v>477</v>
      </c>
      <c r="C638" s="488"/>
      <c r="D638" s="487"/>
      <c r="E638" s="487"/>
      <c r="F638" s="487"/>
      <c r="G638" s="487"/>
      <c r="H638" s="48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  <c r="T638" s="487"/>
      <c r="U638" s="487"/>
      <c r="V638" s="487"/>
      <c r="W638" s="487"/>
      <c r="X638" s="487"/>
      <c r="Y638" s="487"/>
      <c r="Z638" s="487"/>
      <c r="AX638" s="3"/>
      <c r="AY638" s="3"/>
      <c r="BS638" s="5"/>
      <c r="BT638" s="5"/>
    </row>
    <row r="639" spans="2:75" ht="27.75" customHeight="1">
      <c r="B639" s="1462" t="s">
        <v>143</v>
      </c>
      <c r="C639" s="1463"/>
      <c r="D639" s="1496" t="s">
        <v>490</v>
      </c>
      <c r="E639" s="1496"/>
      <c r="F639" s="1496"/>
      <c r="G639" s="1496"/>
      <c r="H639" s="1495" t="s">
        <v>488</v>
      </c>
      <c r="I639" s="1495"/>
      <c r="J639" s="1495"/>
      <c r="K639" s="1495"/>
      <c r="L639" s="1496" t="s">
        <v>487</v>
      </c>
      <c r="M639" s="1496"/>
      <c r="N639" s="1496"/>
      <c r="O639" s="1496"/>
      <c r="P639" s="1495" t="s">
        <v>867</v>
      </c>
      <c r="Q639" s="1495"/>
      <c r="R639" s="1495"/>
      <c r="S639" s="1495"/>
      <c r="T639" s="1495" t="s">
        <v>486</v>
      </c>
      <c r="U639" s="1495"/>
      <c r="V639" s="1495"/>
      <c r="W639" s="1495"/>
      <c r="X639" s="1561" t="s">
        <v>489</v>
      </c>
      <c r="Y639" s="1561"/>
      <c r="Z639" s="1562"/>
      <c r="AX639" s="3"/>
      <c r="AY639" s="3"/>
      <c r="BS639" s="5"/>
      <c r="BT639" s="5"/>
    </row>
    <row r="640" spans="2:75" ht="18.75" customHeight="1">
      <c r="B640" s="1469" t="str">
        <f>AC1</f>
        <v>지상1층</v>
      </c>
      <c r="C640" s="1470"/>
      <c r="D640" s="1470">
        <f>+G636</f>
        <v>3.8</v>
      </c>
      <c r="E640" s="1470"/>
      <c r="F640" s="1470"/>
      <c r="G640" s="1470"/>
      <c r="H640" s="1558">
        <f>+K636</f>
        <v>3.9</v>
      </c>
      <c r="I640" s="1558"/>
      <c r="J640" s="1558"/>
      <c r="K640" s="1558"/>
      <c r="L640" s="1470">
        <f>+O636+T640/1000</f>
        <v>0.66</v>
      </c>
      <c r="M640" s="1470"/>
      <c r="N640" s="1470"/>
      <c r="O640" s="1470"/>
      <c r="P640" s="1556">
        <f>+S398</f>
        <v>94.5</v>
      </c>
      <c r="Q640" s="1556"/>
      <c r="R640" s="1556"/>
      <c r="S640" s="1556"/>
      <c r="T640" s="1557">
        <f>+T92</f>
        <v>500</v>
      </c>
      <c r="U640" s="1557"/>
      <c r="V640" s="1557"/>
      <c r="W640" s="1557"/>
      <c r="X640" s="1558">
        <f>+X92</f>
        <v>1</v>
      </c>
      <c r="Y640" s="1558"/>
      <c r="Z640" s="1559"/>
      <c r="AX640" s="3"/>
      <c r="AY640" s="3"/>
      <c r="BS640" s="5"/>
      <c r="BT640" s="5"/>
    </row>
    <row r="641" spans="2:75" ht="26.25" customHeight="1">
      <c r="B641" s="395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X641" s="3"/>
      <c r="AY641" s="3"/>
      <c r="BS641" s="5"/>
      <c r="BT641" s="5"/>
    </row>
    <row r="642" spans="2:75" ht="30.75" customHeight="1">
      <c r="B642" s="489" t="s">
        <v>386</v>
      </c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  <c r="N642" s="490"/>
      <c r="O642" s="490"/>
      <c r="P642" s="490"/>
      <c r="Q642" s="490"/>
      <c r="R642" s="490"/>
      <c r="S642" s="490"/>
      <c r="T642" s="490"/>
      <c r="U642" s="490"/>
      <c r="V642" s="490"/>
      <c r="W642" s="490"/>
      <c r="X642" s="490"/>
      <c r="Y642" s="490"/>
      <c r="Z642" s="490"/>
      <c r="AX642" s="3"/>
      <c r="AY642" s="3"/>
      <c r="BS642" s="5"/>
      <c r="BT642" s="5"/>
    </row>
    <row r="643" spans="2:75" ht="33" customHeight="1">
      <c r="B643" s="1479" t="s">
        <v>491</v>
      </c>
      <c r="C643" s="1480"/>
      <c r="D643" s="1480"/>
      <c r="E643" s="1472" t="s">
        <v>852</v>
      </c>
      <c r="F643" s="1472"/>
      <c r="G643" s="1472"/>
      <c r="H643" s="1472"/>
      <c r="I643" s="1472"/>
      <c r="J643" s="1472"/>
      <c r="K643" s="1481"/>
      <c r="L643" s="1482" t="s">
        <v>866</v>
      </c>
      <c r="M643" s="1472"/>
      <c r="N643" s="1472"/>
      <c r="O643" s="1472"/>
      <c r="P643" s="1472"/>
      <c r="Q643" s="1472"/>
      <c r="R643" s="1472" t="s">
        <v>494</v>
      </c>
      <c r="S643" s="1472"/>
      <c r="T643" s="1472"/>
      <c r="U643" s="1472"/>
      <c r="V643" s="1472"/>
      <c r="W643" s="1472"/>
      <c r="X643" s="1451" t="s">
        <v>56</v>
      </c>
      <c r="Y643" s="1451"/>
      <c r="Z643" s="1452"/>
      <c r="AX643" s="3"/>
      <c r="AY643" s="3"/>
      <c r="BS643" s="5"/>
      <c r="BT643" s="5"/>
    </row>
    <row r="644" spans="2:75" ht="28.5" customHeight="1">
      <c r="B644" s="1464">
        <f>+S636</f>
        <v>150</v>
      </c>
      <c r="C644" s="1465"/>
      <c r="D644" s="1465"/>
      <c r="E644" s="1466">
        <f>+S228</f>
        <v>86.4</v>
      </c>
      <c r="F644" s="1467"/>
      <c r="G644" s="1467"/>
      <c r="H644" s="1467"/>
      <c r="I644" s="1467"/>
      <c r="J644" s="1467"/>
      <c r="K644" s="1468"/>
      <c r="L644" s="1471">
        <f>+X97</f>
        <v>94.5</v>
      </c>
      <c r="M644" s="1467"/>
      <c r="N644" s="1467"/>
      <c r="O644" s="1467"/>
      <c r="P644" s="1467"/>
      <c r="Q644" s="1467"/>
      <c r="R644" s="1466">
        <f>+Q394</f>
        <v>99.3</v>
      </c>
      <c r="S644" s="1467"/>
      <c r="T644" s="1467"/>
      <c r="U644" s="1467"/>
      <c r="V644" s="1467"/>
      <c r="W644" s="1467"/>
      <c r="X644" s="1493"/>
      <c r="Y644" s="1493"/>
      <c r="Z644" s="1494"/>
      <c r="AX644" s="3"/>
      <c r="AY644" s="3"/>
      <c r="BS644" s="5"/>
      <c r="BT644" s="5"/>
    </row>
    <row r="645" spans="2:75" ht="26.25" customHeight="1">
      <c r="B645" s="1474" t="s">
        <v>476</v>
      </c>
      <c r="C645" s="1475"/>
      <c r="D645" s="1475"/>
      <c r="E645" s="1476" t="str">
        <f>+IF(E644&gt;B644,"O.K","N.G")</f>
        <v>N.G</v>
      </c>
      <c r="F645" s="1476"/>
      <c r="G645" s="1476"/>
      <c r="H645" s="1476"/>
      <c r="I645" s="1476"/>
      <c r="J645" s="1476"/>
      <c r="K645" s="1477"/>
      <c r="L645" s="1478" t="str">
        <f>B645</f>
        <v>판  정</v>
      </c>
      <c r="M645" s="1476"/>
      <c r="N645" s="1476"/>
      <c r="O645" s="1476"/>
      <c r="P645" s="1476"/>
      <c r="Q645" s="1476"/>
      <c r="R645" s="1476" t="str">
        <f>+IF(R644&gt;L644,"O.K","N.G")</f>
        <v>O.K</v>
      </c>
      <c r="S645" s="1476"/>
      <c r="T645" s="1476"/>
      <c r="U645" s="1476"/>
      <c r="V645" s="1476"/>
      <c r="W645" s="1476"/>
      <c r="X645" s="1443"/>
      <c r="Y645" s="1443"/>
      <c r="Z645" s="1444"/>
      <c r="AX645" s="3"/>
      <c r="AY645" s="3"/>
      <c r="BS645" s="5"/>
      <c r="BT645" s="5"/>
    </row>
    <row r="646" spans="2:75" ht="26.25" customHeight="1">
      <c r="B646" s="395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BS646" s="5"/>
      <c r="BT646" s="5"/>
    </row>
    <row r="647" spans="2:75" ht="29.25" customHeight="1">
      <c r="B647" s="489" t="s">
        <v>390</v>
      </c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  <c r="N647" s="490"/>
      <c r="O647" s="490"/>
      <c r="P647" s="490"/>
      <c r="Q647" s="490"/>
      <c r="R647" s="490"/>
      <c r="S647" s="490"/>
      <c r="T647" s="490"/>
      <c r="U647" s="490"/>
      <c r="V647" s="490"/>
      <c r="W647" s="490"/>
      <c r="X647" s="490"/>
      <c r="Y647" s="287"/>
      <c r="Z647" s="287"/>
      <c r="BS647" s="5"/>
      <c r="BT647" s="5"/>
    </row>
    <row r="648" spans="2:75" ht="30" customHeight="1">
      <c r="B648" s="1445" t="s">
        <v>493</v>
      </c>
      <c r="C648" s="1445"/>
      <c r="D648" s="1445"/>
      <c r="E648" s="1445"/>
      <c r="F648" s="1445"/>
      <c r="G648" s="1446"/>
      <c r="H648" s="1447" t="s">
        <v>492</v>
      </c>
      <c r="I648" s="1448"/>
      <c r="J648" s="1448"/>
      <c r="K648" s="1448"/>
      <c r="L648" s="1448"/>
      <c r="M648" s="1448"/>
      <c r="N648" s="1448"/>
      <c r="O648" s="1449"/>
      <c r="P648" s="1447" t="s">
        <v>495</v>
      </c>
      <c r="Q648" s="1448"/>
      <c r="R648" s="1448"/>
      <c r="S648" s="1448"/>
      <c r="T648" s="1448"/>
      <c r="U648" s="1448"/>
      <c r="V648" s="1449"/>
      <c r="W648" s="1450" t="s">
        <v>56</v>
      </c>
      <c r="X648" s="1450"/>
      <c r="Y648" s="1451"/>
      <c r="Z648" s="1452"/>
      <c r="BS648" s="5"/>
      <c r="BT648" s="5"/>
    </row>
    <row r="649" spans="2:75" ht="33.75" customHeight="1">
      <c r="B649" s="1483">
        <v>25.4</v>
      </c>
      <c r="C649" s="1483"/>
      <c r="D649" s="1483"/>
      <c r="E649" s="1483"/>
      <c r="F649" s="1483"/>
      <c r="G649" s="1484"/>
      <c r="H649" s="1485">
        <f>+U487</f>
        <v>46.77</v>
      </c>
      <c r="I649" s="1486"/>
      <c r="J649" s="1486"/>
      <c r="K649" s="1486"/>
      <c r="L649" s="1486"/>
      <c r="M649" s="1486"/>
      <c r="N649" s="1486"/>
      <c r="O649" s="1487"/>
      <c r="P649" s="1488">
        <f>+S625</f>
        <v>22.970000000000002</v>
      </c>
      <c r="Q649" s="1489"/>
      <c r="R649" s="1489"/>
      <c r="S649" s="1489"/>
      <c r="T649" s="1489"/>
      <c r="U649" s="1489"/>
      <c r="V649" s="1490"/>
      <c r="W649" s="1491"/>
      <c r="X649" s="1491"/>
      <c r="Y649" s="1491"/>
      <c r="Z649" s="1492"/>
      <c r="BS649" s="5"/>
      <c r="BT649" s="5"/>
    </row>
    <row r="650" spans="2:75" ht="36" customHeight="1">
      <c r="B650" s="1438" t="s">
        <v>476</v>
      </c>
      <c r="C650" s="1438"/>
      <c r="D650" s="1438"/>
      <c r="E650" s="1438"/>
      <c r="F650" s="1438"/>
      <c r="G650" s="1439"/>
      <c r="H650" s="1440" t="str">
        <f>+IF(H649&lt;B649,"O.K","N.G")</f>
        <v>N.G</v>
      </c>
      <c r="I650" s="1441"/>
      <c r="J650" s="1441"/>
      <c r="K650" s="1441"/>
      <c r="L650" s="1441"/>
      <c r="M650" s="1441"/>
      <c r="N650" s="1441"/>
      <c r="O650" s="1442"/>
      <c r="P650" s="1440" t="str">
        <f>+IF(P649&lt;B649,"O.K","N.G")</f>
        <v>O.K</v>
      </c>
      <c r="Q650" s="1441"/>
      <c r="R650" s="1441"/>
      <c r="S650" s="1441"/>
      <c r="T650" s="1441"/>
      <c r="U650" s="1441"/>
      <c r="V650" s="1442"/>
      <c r="W650" s="1443"/>
      <c r="X650" s="1443"/>
      <c r="Y650" s="1443"/>
      <c r="Z650" s="1444"/>
      <c r="BS650" s="5"/>
      <c r="BT650" s="5"/>
    </row>
    <row r="651" spans="2:75" ht="30" customHeight="1">
      <c r="B651" s="395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BS651" s="5"/>
      <c r="BT651" s="5"/>
    </row>
    <row r="652" spans="2:75" ht="18.75" customHeight="1">
      <c r="B652" s="395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BS652" s="5"/>
      <c r="BT652" s="5"/>
    </row>
    <row r="653" spans="2:75" ht="18.75" customHeight="1">
      <c r="BS653" s="5"/>
      <c r="BT653" s="5"/>
    </row>
    <row r="654" spans="2:75" ht="30.75" customHeight="1">
      <c r="BS654" s="5"/>
      <c r="BT654" s="5"/>
    </row>
    <row r="655" spans="2:75" ht="30.75" customHeight="1">
      <c r="BS655" s="5"/>
      <c r="BT655" s="5"/>
    </row>
    <row r="656" spans="2:75" ht="28.5" customHeight="1">
      <c r="BS656" s="5"/>
      <c r="BT656" s="5"/>
      <c r="BU656" s="5"/>
      <c r="BV656" s="5"/>
      <c r="BW656" s="5"/>
    </row>
    <row r="657" spans="65:75" ht="28.5" customHeight="1">
      <c r="BO657" s="5"/>
      <c r="BP657" s="5"/>
      <c r="BQ657" s="5"/>
      <c r="BR657" s="5"/>
      <c r="BS657" s="5"/>
      <c r="BT657" s="5"/>
      <c r="BU657" s="5"/>
      <c r="BV657" s="5"/>
      <c r="BW657" s="5"/>
    </row>
    <row r="658" spans="65:75" ht="28.5" customHeight="1">
      <c r="BO658" s="5"/>
      <c r="BP658" s="5"/>
      <c r="BQ658" s="5"/>
      <c r="BR658" s="5"/>
      <c r="BS658" s="5"/>
      <c r="BT658" s="5"/>
      <c r="BU658" s="5"/>
      <c r="BV658" s="5"/>
      <c r="BW658" s="5"/>
    </row>
    <row r="659" spans="65:75" ht="15" customHeight="1">
      <c r="BO659" s="5"/>
      <c r="BP659" s="5"/>
      <c r="BQ659" s="5"/>
      <c r="BR659" s="5"/>
      <c r="BS659" s="5"/>
      <c r="BT659" s="5"/>
      <c r="BU659" s="5"/>
      <c r="BV659" s="5"/>
      <c r="BW659" s="5"/>
    </row>
    <row r="660" spans="65:75" ht="24.75" customHeight="1">
      <c r="BO660" s="5"/>
      <c r="BP660" s="5"/>
      <c r="BQ660" s="5"/>
      <c r="BR660" s="5"/>
      <c r="BS660" s="5"/>
      <c r="BT660" s="5"/>
      <c r="BU660" s="5"/>
      <c r="BV660" s="5"/>
      <c r="BW660" s="5"/>
    </row>
    <row r="661" spans="65:75" ht="22.5" customHeight="1">
      <c r="BO661" s="5"/>
      <c r="BP661" s="5"/>
      <c r="BQ661" s="5"/>
      <c r="BR661" s="5"/>
      <c r="BS661" s="5"/>
      <c r="BT661" s="5"/>
    </row>
    <row r="662" spans="65:75" ht="22.5" customHeight="1">
      <c r="BN662" s="5"/>
      <c r="BO662" s="5"/>
      <c r="BP662" s="5"/>
      <c r="BQ662" s="5"/>
      <c r="BR662" s="5"/>
      <c r="BS662" s="5"/>
      <c r="BT662" s="5"/>
    </row>
    <row r="663" spans="65:75" ht="22.5" customHeight="1">
      <c r="BN663" s="5"/>
      <c r="BO663" s="5"/>
      <c r="BP663" s="5"/>
      <c r="BQ663" s="5"/>
      <c r="BR663" s="5"/>
      <c r="BS663" s="5"/>
      <c r="BT663" s="5"/>
    </row>
    <row r="664" spans="65:75" ht="15" customHeight="1">
      <c r="BN664" s="5"/>
      <c r="BO664" s="5"/>
      <c r="BP664" s="5"/>
      <c r="BQ664" s="5"/>
      <c r="BR664" s="5"/>
      <c r="BS664" s="5"/>
      <c r="BT664" s="5"/>
    </row>
    <row r="665" spans="65:75" ht="15" customHeight="1">
      <c r="BN665" s="5"/>
      <c r="BO665" s="5"/>
      <c r="BP665" s="5"/>
      <c r="BQ665" s="5"/>
      <c r="BR665" s="5"/>
      <c r="BS665" s="5"/>
      <c r="BT665" s="5"/>
    </row>
    <row r="666" spans="65:75" ht="15" customHeight="1">
      <c r="BM666" s="5"/>
      <c r="BN666" s="5"/>
      <c r="BO666" s="5"/>
      <c r="BP666" s="5"/>
      <c r="BQ666" s="5"/>
      <c r="BR666" s="5"/>
    </row>
    <row r="667" spans="65:75" ht="15" customHeight="1">
      <c r="BM667" s="5"/>
      <c r="BN667" s="5"/>
      <c r="BO667" s="5"/>
      <c r="BP667" s="5"/>
      <c r="BQ667" s="5"/>
      <c r="BR667" s="5"/>
    </row>
    <row r="668" spans="65:75" ht="15" customHeight="1">
      <c r="BM668" s="5"/>
      <c r="BN668" s="5"/>
      <c r="BO668" s="5"/>
      <c r="BP668" s="5"/>
      <c r="BQ668" s="5"/>
      <c r="BR668" s="5"/>
    </row>
    <row r="669" spans="65:75" ht="15" customHeight="1">
      <c r="BM669" s="5"/>
      <c r="BN669" s="5"/>
    </row>
    <row r="670" spans="65:75" ht="15" customHeight="1">
      <c r="BM670" s="5"/>
      <c r="BN670" s="5"/>
    </row>
    <row r="671" spans="65:75" ht="15" customHeight="1">
      <c r="BM671" s="5"/>
      <c r="BN671" s="5"/>
    </row>
    <row r="672" spans="65:75" ht="15" customHeight="1">
      <c r="BM672" s="5"/>
      <c r="BN672" s="5"/>
      <c r="BS672" s="5"/>
      <c r="BT672" s="5"/>
    </row>
    <row r="673" spans="65:72" ht="15" customHeight="1">
      <c r="BM673" s="5"/>
      <c r="BN673" s="5"/>
      <c r="BS673" s="5"/>
      <c r="BT673" s="5"/>
    </row>
    <row r="674" spans="65:72" ht="15" customHeight="1">
      <c r="BM674" s="5"/>
      <c r="BS674" s="5"/>
      <c r="BT674" s="5"/>
    </row>
    <row r="675" spans="65:72" ht="15" customHeight="1">
      <c r="BM675" s="5"/>
      <c r="BS675" s="5"/>
      <c r="BT675" s="5"/>
    </row>
    <row r="676" spans="65:72" ht="15" customHeight="1">
      <c r="BM676" s="5"/>
      <c r="BS676" s="5"/>
      <c r="BT676" s="5"/>
    </row>
    <row r="677" spans="65:72" ht="15" customHeight="1">
      <c r="BM677" s="5"/>
      <c r="BS677" s="5"/>
      <c r="BT677" s="5"/>
    </row>
    <row r="678" spans="65:72" ht="18.75" customHeight="1">
      <c r="BS678" s="5"/>
      <c r="BT678" s="5"/>
    </row>
    <row r="679" spans="65:72" ht="18.75" customHeight="1">
      <c r="BS679" s="5"/>
      <c r="BT679" s="5"/>
    </row>
    <row r="680" spans="65:72" ht="28.5" customHeight="1">
      <c r="BS680" s="5"/>
      <c r="BT680" s="5"/>
    </row>
    <row r="681" spans="65:72" ht="15" customHeight="1">
      <c r="BS681" s="5"/>
      <c r="BT681" s="5"/>
    </row>
    <row r="683" spans="65:72" ht="31.5" customHeight="1"/>
    <row r="684" spans="65:72" ht="18.75" customHeight="1"/>
    <row r="685" spans="65:72" ht="18.75" customHeight="1"/>
    <row r="689" ht="33" customHeight="1"/>
    <row r="690" ht="24.75" customHeight="1"/>
    <row r="691" ht="24.75" customHeight="1"/>
    <row r="694" ht="17.25" customHeight="1"/>
    <row r="695" ht="26.25" customHeight="1"/>
    <row r="696" ht="26.25" customHeight="1"/>
    <row r="697" ht="26.25" customHeight="1"/>
    <row r="698" ht="17.25" customHeight="1"/>
  </sheetData>
  <mergeCells count="1906">
    <mergeCell ref="G138:H138"/>
    <mergeCell ref="S138:T138"/>
    <mergeCell ref="AD42:AF42"/>
    <mergeCell ref="AD43:AF43"/>
    <mergeCell ref="AD44:AF44"/>
    <mergeCell ref="AI43:AJ43"/>
    <mergeCell ref="AI39:AJ39"/>
    <mergeCell ref="AI40:AJ40"/>
    <mergeCell ref="AI41:AJ41"/>
    <mergeCell ref="AI42:AJ42"/>
    <mergeCell ref="AN554:AO554"/>
    <mergeCell ref="AS554:AT554"/>
    <mergeCell ref="AD107:AF108"/>
    <mergeCell ref="AG107:AI108"/>
    <mergeCell ref="AD109:AF109"/>
    <mergeCell ref="AG109:AI109"/>
    <mergeCell ref="AD110:AF110"/>
    <mergeCell ref="AG110:AI110"/>
    <mergeCell ref="AD111:AF111"/>
    <mergeCell ref="AG111:AI111"/>
    <mergeCell ref="AD112:AF112"/>
    <mergeCell ref="AG112:AI112"/>
    <mergeCell ref="AD113:AF113"/>
    <mergeCell ref="AG113:AI113"/>
    <mergeCell ref="AD114:AF114"/>
    <mergeCell ref="AG114:AI114"/>
    <mergeCell ref="AD115:AF115"/>
    <mergeCell ref="AG115:AI115"/>
    <mergeCell ref="AD116:AF116"/>
    <mergeCell ref="AG116:AI116"/>
    <mergeCell ref="AD117:AF117"/>
    <mergeCell ref="AL545:AM545"/>
    <mergeCell ref="S371:T371"/>
    <mergeCell ref="V371:W371"/>
    <mergeCell ref="O373:Q373"/>
    <mergeCell ref="L375:M375"/>
    <mergeCell ref="S375:T375"/>
    <mergeCell ref="V375:W375"/>
    <mergeCell ref="P376:Q376"/>
    <mergeCell ref="E513:H513"/>
    <mergeCell ref="E554:F554"/>
    <mergeCell ref="G554:I554"/>
    <mergeCell ref="G507:I507"/>
    <mergeCell ref="D493:D494"/>
    <mergeCell ref="E493:E494"/>
    <mergeCell ref="F493:G494"/>
    <mergeCell ref="H493:H494"/>
    <mergeCell ref="I493:J494"/>
    <mergeCell ref="K493:K494"/>
    <mergeCell ref="M552:N552"/>
    <mergeCell ref="E552:F552"/>
    <mergeCell ref="M554:N554"/>
    <mergeCell ref="J554:L554"/>
    <mergeCell ref="O470:Q470"/>
    <mergeCell ref="E468:F468"/>
    <mergeCell ref="G468:I468"/>
    <mergeCell ref="G545:I545"/>
    <mergeCell ref="J545:L545"/>
    <mergeCell ref="M545:N545"/>
    <mergeCell ref="O545:Q545"/>
    <mergeCell ref="D504:D505"/>
    <mergeCell ref="L493:M494"/>
    <mergeCell ref="N493:N494"/>
    <mergeCell ref="O493:Q493"/>
    <mergeCell ref="BA555:BE555"/>
    <mergeCell ref="J532:L532"/>
    <mergeCell ref="M532:N532"/>
    <mergeCell ref="O532:Q532"/>
    <mergeCell ref="L520:M520"/>
    <mergeCell ref="L521:M521"/>
    <mergeCell ref="R512:R513"/>
    <mergeCell ref="T512:U513"/>
    <mergeCell ref="V512:W513"/>
    <mergeCell ref="AU555:AV555"/>
    <mergeCell ref="AG552:AH552"/>
    <mergeCell ref="AL552:AM552"/>
    <mergeCell ref="AN552:AO552"/>
    <mergeCell ref="AS552:AT552"/>
    <mergeCell ref="AG555:AH555"/>
    <mergeCell ref="AL555:AM555"/>
    <mergeCell ref="AN555:AO555"/>
    <mergeCell ref="AG554:AH554"/>
    <mergeCell ref="AL554:AM554"/>
    <mergeCell ref="AU554:AV554"/>
    <mergeCell ref="AS553:AT553"/>
    <mergeCell ref="AS546:AT546"/>
    <mergeCell ref="AG545:AH545"/>
    <mergeCell ref="AU539:AV539"/>
    <mergeCell ref="AS545:AT545"/>
    <mergeCell ref="AU545:AV545"/>
    <mergeCell ref="AL540:AM540"/>
    <mergeCell ref="AN540:AO540"/>
    <mergeCell ref="AS540:AT540"/>
    <mergeCell ref="AG539:AH539"/>
    <mergeCell ref="AN545:AO545"/>
    <mergeCell ref="AG546:AH546"/>
    <mergeCell ref="AS555:AT555"/>
    <mergeCell ref="AG553:AH553"/>
    <mergeCell ref="AL553:AM553"/>
    <mergeCell ref="AN553:AO553"/>
    <mergeCell ref="AU543:AV543"/>
    <mergeCell ref="AG544:AH544"/>
    <mergeCell ref="AG543:AH543"/>
    <mergeCell ref="AL543:AM543"/>
    <mergeCell ref="O554:Q554"/>
    <mergeCell ref="AU552:AV552"/>
    <mergeCell ref="AU553:AV553"/>
    <mergeCell ref="J552:L552"/>
    <mergeCell ref="N511:O511"/>
    <mergeCell ref="S511:T511"/>
    <mergeCell ref="AU548:AV548"/>
    <mergeCell ref="AG549:AH549"/>
    <mergeCell ref="AL549:AM549"/>
    <mergeCell ref="J548:L548"/>
    <mergeCell ref="M548:N548"/>
    <mergeCell ref="J550:L550"/>
    <mergeCell ref="M550:N550"/>
    <mergeCell ref="O550:Q550"/>
    <mergeCell ref="AG542:AH542"/>
    <mergeCell ref="AL542:AM542"/>
    <mergeCell ref="AN542:AO542"/>
    <mergeCell ref="AS542:AT542"/>
    <mergeCell ref="O552:Q552"/>
    <mergeCell ref="M553:N553"/>
    <mergeCell ref="K512:M512"/>
    <mergeCell ref="O512:P512"/>
    <mergeCell ref="AU550:AV550"/>
    <mergeCell ref="AU547:AV547"/>
    <mergeCell ref="AG551:AH551"/>
    <mergeCell ref="AL551:AM551"/>
    <mergeCell ref="AN551:AO551"/>
    <mergeCell ref="AS551:AT551"/>
    <mergeCell ref="G487:G488"/>
    <mergeCell ref="K513:P513"/>
    <mergeCell ref="AU551:AV551"/>
    <mergeCell ref="AU549:AV549"/>
    <mergeCell ref="AN549:AO549"/>
    <mergeCell ref="AS549:AT549"/>
    <mergeCell ref="AS547:AT547"/>
    <mergeCell ref="AG548:AH548"/>
    <mergeCell ref="AL548:AM548"/>
    <mergeCell ref="AN548:AO548"/>
    <mergeCell ref="AS548:AT548"/>
    <mergeCell ref="AG550:AH550"/>
    <mergeCell ref="AL550:AM550"/>
    <mergeCell ref="AN550:AO550"/>
    <mergeCell ref="AS550:AT550"/>
    <mergeCell ref="AN546:AO546"/>
    <mergeCell ref="G548:I548"/>
    <mergeCell ref="G550:I550"/>
    <mergeCell ref="E512:H512"/>
    <mergeCell ref="I512:I513"/>
    <mergeCell ref="E546:F546"/>
    <mergeCell ref="G546:I546"/>
    <mergeCell ref="J546:L546"/>
    <mergeCell ref="M546:N546"/>
    <mergeCell ref="O546:Q546"/>
    <mergeCell ref="E545:F545"/>
    <mergeCell ref="AG547:AH547"/>
    <mergeCell ref="AL547:AM547"/>
    <mergeCell ref="Q581:Q582"/>
    <mergeCell ref="U581:W581"/>
    <mergeCell ref="G621:J621"/>
    <mergeCell ref="B620:F620"/>
    <mergeCell ref="O585:Q585"/>
    <mergeCell ref="R585:R586"/>
    <mergeCell ref="T585:T586"/>
    <mergeCell ref="U585:W586"/>
    <mergeCell ref="X583:Y584"/>
    <mergeCell ref="H394:J394"/>
    <mergeCell ref="E510:I510"/>
    <mergeCell ref="J510:J511"/>
    <mergeCell ref="O551:Q551"/>
    <mergeCell ref="G549:I549"/>
    <mergeCell ref="J549:L549"/>
    <mergeCell ref="M549:N549"/>
    <mergeCell ref="O549:Q549"/>
    <mergeCell ref="G552:I552"/>
    <mergeCell ref="O553:Q553"/>
    <mergeCell ref="J468:L468"/>
    <mergeCell ref="M468:N468"/>
    <mergeCell ref="D512:D513"/>
    <mergeCell ref="D510:D511"/>
    <mergeCell ref="M473:N473"/>
    <mergeCell ref="J477:L477"/>
    <mergeCell ref="O584:P584"/>
    <mergeCell ref="Q583:Q584"/>
    <mergeCell ref="T583:T584"/>
    <mergeCell ref="U583:W584"/>
    <mergeCell ref="L583:P583"/>
    <mergeCell ref="C556:C557"/>
    <mergeCell ref="D556:D557"/>
    <mergeCell ref="AG117:AI117"/>
    <mergeCell ref="AD118:AF118"/>
    <mergeCell ref="AG118:AI118"/>
    <mergeCell ref="AE615:AF615"/>
    <mergeCell ref="B627:R627"/>
    <mergeCell ref="S627:Z627"/>
    <mergeCell ref="P640:S640"/>
    <mergeCell ref="T640:W640"/>
    <mergeCell ref="X640:Z640"/>
    <mergeCell ref="G635:J635"/>
    <mergeCell ref="K635:N635"/>
    <mergeCell ref="O635:R635"/>
    <mergeCell ref="X639:Z639"/>
    <mergeCell ref="P639:S639"/>
    <mergeCell ref="T639:W639"/>
    <mergeCell ref="L582:M582"/>
    <mergeCell ref="O582:P582"/>
    <mergeCell ref="F585:G586"/>
    <mergeCell ref="H585:H586"/>
    <mergeCell ref="I585:J586"/>
    <mergeCell ref="K585:K586"/>
    <mergeCell ref="L584:M584"/>
    <mergeCell ref="U304:W304"/>
    <mergeCell ref="X304:Z304"/>
    <mergeCell ref="D640:G640"/>
    <mergeCell ref="H640:K640"/>
    <mergeCell ref="L640:O640"/>
    <mergeCell ref="D581:D582"/>
    <mergeCell ref="E581:E582"/>
    <mergeCell ref="F583:G584"/>
    <mergeCell ref="H583:H584"/>
    <mergeCell ref="I583:J584"/>
    <mergeCell ref="U309:W309"/>
    <mergeCell ref="X309:Z309"/>
    <mergeCell ref="V577:V578"/>
    <mergeCell ref="U316:W316"/>
    <mergeCell ref="X316:Z316"/>
    <mergeCell ref="U317:W317"/>
    <mergeCell ref="X317:Z317"/>
    <mergeCell ref="U318:W318"/>
    <mergeCell ref="X318:Z318"/>
    <mergeCell ref="Q308:S308"/>
    <mergeCell ref="M309:P309"/>
    <mergeCell ref="K324:M324"/>
    <mergeCell ref="C319:Z321"/>
    <mergeCell ref="K325:M325"/>
    <mergeCell ref="K326:M326"/>
    <mergeCell ref="H577:K577"/>
    <mergeCell ref="N577:O577"/>
    <mergeCell ref="P577:Q577"/>
    <mergeCell ref="R577:S577"/>
    <mergeCell ref="C508:F508"/>
    <mergeCell ref="G508:I508"/>
    <mergeCell ref="T493:T494"/>
    <mergeCell ref="K322:M322"/>
    <mergeCell ref="N322:O322"/>
    <mergeCell ref="U493:W494"/>
    <mergeCell ref="U486:V486"/>
    <mergeCell ref="P367:Q367"/>
    <mergeCell ref="G556:G557"/>
    <mergeCell ref="H556:I557"/>
    <mergeCell ref="J556:J557"/>
    <mergeCell ref="Y556:Y557"/>
    <mergeCell ref="M470:N470"/>
    <mergeCell ref="P209:R209"/>
    <mergeCell ref="S209:U209"/>
    <mergeCell ref="V209:Z209"/>
    <mergeCell ref="B208:E208"/>
    <mergeCell ref="F208:I208"/>
    <mergeCell ref="J208:L208"/>
    <mergeCell ref="M208:O208"/>
    <mergeCell ref="P208:R208"/>
    <mergeCell ref="N114:O114"/>
    <mergeCell ref="P114:Q114"/>
    <mergeCell ref="R114:T114"/>
    <mergeCell ref="U114:W114"/>
    <mergeCell ref="X114:Z114"/>
    <mergeCell ref="K113:M113"/>
    <mergeCell ref="N113:O113"/>
    <mergeCell ref="P113:Q113"/>
    <mergeCell ref="R113:T113"/>
    <mergeCell ref="U113:W113"/>
    <mergeCell ref="X113:Z113"/>
    <mergeCell ref="E113:F113"/>
    <mergeCell ref="E114:F114"/>
    <mergeCell ref="S198:Z198"/>
    <mergeCell ref="B195:E195"/>
    <mergeCell ref="F195:L195"/>
    <mergeCell ref="M195:R195"/>
    <mergeCell ref="S195:Z195"/>
    <mergeCell ref="B197:E197"/>
    <mergeCell ref="G113:H113"/>
    <mergeCell ref="N128:O128"/>
    <mergeCell ref="P127:Q127"/>
    <mergeCell ref="R127:T127"/>
    <mergeCell ref="U127:W127"/>
    <mergeCell ref="O204:R204"/>
    <mergeCell ref="N269:P269"/>
    <mergeCell ref="N270:P270"/>
    <mergeCell ref="Q252:S252"/>
    <mergeCell ref="N268:P268"/>
    <mergeCell ref="V236:Z236"/>
    <mergeCell ref="B237:E237"/>
    <mergeCell ref="F237:I237"/>
    <mergeCell ref="N280:P280"/>
    <mergeCell ref="N281:P281"/>
    <mergeCell ref="F285:G285"/>
    <mergeCell ref="I285:K285"/>
    <mergeCell ref="M285:O285"/>
    <mergeCell ref="Q285:S285"/>
    <mergeCell ref="S204:V204"/>
    <mergeCell ref="W204:Z204"/>
    <mergeCell ref="W201:Z202"/>
    <mergeCell ref="B202:G202"/>
    <mergeCell ref="B203:G203"/>
    <mergeCell ref="H203:K203"/>
    <mergeCell ref="L203:N203"/>
    <mergeCell ref="O203:R203"/>
    <mergeCell ref="S203:V203"/>
    <mergeCell ref="W203:Z203"/>
    <mergeCell ref="B201:G201"/>
    <mergeCell ref="H201:K202"/>
    <mergeCell ref="L201:N202"/>
    <mergeCell ref="O201:R202"/>
    <mergeCell ref="B209:E209"/>
    <mergeCell ref="F209:I209"/>
    <mergeCell ref="J209:L209"/>
    <mergeCell ref="M209:O209"/>
    <mergeCell ref="F286:G286"/>
    <mergeCell ref="I286:K286"/>
    <mergeCell ref="X107:Z108"/>
    <mergeCell ref="K108:M108"/>
    <mergeCell ref="N108:O108"/>
    <mergeCell ref="R108:T108"/>
    <mergeCell ref="U108:W108"/>
    <mergeCell ref="N115:O115"/>
    <mergeCell ref="P115:Q115"/>
    <mergeCell ref="R115:T115"/>
    <mergeCell ref="U115:W115"/>
    <mergeCell ref="X115:Z115"/>
    <mergeCell ref="I114:J114"/>
    <mergeCell ref="I115:J115"/>
    <mergeCell ref="B115:H115"/>
    <mergeCell ref="U119:W119"/>
    <mergeCell ref="U120:W120"/>
    <mergeCell ref="B236:E236"/>
    <mergeCell ref="F236:I236"/>
    <mergeCell ref="J236:L236"/>
    <mergeCell ref="M236:O236"/>
    <mergeCell ref="P236:R236"/>
    <mergeCell ref="S236:U236"/>
    <mergeCell ref="E253:G253"/>
    <mergeCell ref="I253:K253"/>
    <mergeCell ref="M253:O253"/>
    <mergeCell ref="V237:Z237"/>
    <mergeCell ref="U131:W131"/>
    <mergeCell ref="X131:Z131"/>
    <mergeCell ref="H204:K204"/>
    <mergeCell ref="L204:N204"/>
    <mergeCell ref="K127:M127"/>
    <mergeCell ref="O328:P328"/>
    <mergeCell ref="R328:S328"/>
    <mergeCell ref="I295:K295"/>
    <mergeCell ref="E296:G296"/>
    <mergeCell ref="D489:D490"/>
    <mergeCell ref="E489:E490"/>
    <mergeCell ref="F489:G490"/>
    <mergeCell ref="H489:H490"/>
    <mergeCell ref="I489:J490"/>
    <mergeCell ref="K489:K490"/>
    <mergeCell ref="L489:P489"/>
    <mergeCell ref="K487:L488"/>
    <mergeCell ref="M487:M488"/>
    <mergeCell ref="K486:L486"/>
    <mergeCell ref="E478:F478"/>
    <mergeCell ref="G478:I478"/>
    <mergeCell ref="J478:L478"/>
    <mergeCell ref="P369:Q369"/>
    <mergeCell ref="M318:P318"/>
    <mergeCell ref="Q318:S318"/>
    <mergeCell ref="M312:P312"/>
    <mergeCell ref="Q312:S312"/>
    <mergeCell ref="K394:M394"/>
    <mergeCell ref="M316:P316"/>
    <mergeCell ref="Q316:S316"/>
    <mergeCell ref="J471:L471"/>
    <mergeCell ref="M471:N471"/>
    <mergeCell ref="O471:Q471"/>
    <mergeCell ref="E469:F469"/>
    <mergeCell ref="E473:F473"/>
    <mergeCell ref="G473:I473"/>
    <mergeCell ref="J473:L473"/>
    <mergeCell ref="X308:Z308"/>
    <mergeCell ref="J481:L481"/>
    <mergeCell ref="M481:N481"/>
    <mergeCell ref="O481:Q481"/>
    <mergeCell ref="X307:Z307"/>
    <mergeCell ref="E295:G295"/>
    <mergeCell ref="Q250:S250"/>
    <mergeCell ref="E251:G251"/>
    <mergeCell ref="I251:K251"/>
    <mergeCell ref="E252:G252"/>
    <mergeCell ref="I252:K252"/>
    <mergeCell ref="N275:P275"/>
    <mergeCell ref="Q304:S304"/>
    <mergeCell ref="E520:G520"/>
    <mergeCell ref="E479:F479"/>
    <mergeCell ref="G479:I479"/>
    <mergeCell ref="G477:I477"/>
    <mergeCell ref="M477:N477"/>
    <mergeCell ref="O477:Q477"/>
    <mergeCell ref="M305:P305"/>
    <mergeCell ref="Q305:S305"/>
    <mergeCell ref="M306:P306"/>
    <mergeCell ref="Q306:S306"/>
    <mergeCell ref="Q307:S307"/>
    <mergeCell ref="N276:P276"/>
    <mergeCell ref="N279:P279"/>
    <mergeCell ref="E504:H504"/>
    <mergeCell ref="O504:O505"/>
    <mergeCell ref="P504:P505"/>
    <mergeCell ref="Q504:W504"/>
    <mergeCell ref="E505:H505"/>
    <mergeCell ref="Q505:W505"/>
    <mergeCell ref="V556:X557"/>
    <mergeCell ref="Y577:Z578"/>
    <mergeCell ref="K583:K584"/>
    <mergeCell ref="F578:H578"/>
    <mergeCell ref="J578:K578"/>
    <mergeCell ref="S556:T557"/>
    <mergeCell ref="Y571:Z572"/>
    <mergeCell ref="W571:X572"/>
    <mergeCell ref="U312:W312"/>
    <mergeCell ref="M308:P308"/>
    <mergeCell ref="N585:N586"/>
    <mergeCell ref="X643:Z643"/>
    <mergeCell ref="K621:N621"/>
    <mergeCell ref="O621:R621"/>
    <mergeCell ref="S621:V621"/>
    <mergeCell ref="W621:Z621"/>
    <mergeCell ref="K327:M327"/>
    <mergeCell ref="U328:W328"/>
    <mergeCell ref="L490:M490"/>
    <mergeCell ref="O490:P490"/>
    <mergeCell ref="R487:S488"/>
    <mergeCell ref="M528:N528"/>
    <mergeCell ref="O528:Q528"/>
    <mergeCell ref="W521:Y521"/>
    <mergeCell ref="N520:P520"/>
    <mergeCell ref="M478:N478"/>
    <mergeCell ref="O478:Q478"/>
    <mergeCell ref="J479:L479"/>
    <mergeCell ref="M479:N479"/>
    <mergeCell ref="O479:Q479"/>
    <mergeCell ref="V571:V572"/>
    <mergeCell ref="E572:I572"/>
    <mergeCell ref="H649:O649"/>
    <mergeCell ref="P649:V649"/>
    <mergeCell ref="W649:Z649"/>
    <mergeCell ref="E556:F557"/>
    <mergeCell ref="O529:Q529"/>
    <mergeCell ref="E530:F530"/>
    <mergeCell ref="G530:I530"/>
    <mergeCell ref="J530:L530"/>
    <mergeCell ref="M530:N530"/>
    <mergeCell ref="O530:Q530"/>
    <mergeCell ref="E527:F527"/>
    <mergeCell ref="G527:I527"/>
    <mergeCell ref="J527:L527"/>
    <mergeCell ref="M527:N527"/>
    <mergeCell ref="O527:Q527"/>
    <mergeCell ref="E528:F528"/>
    <mergeCell ref="G528:I528"/>
    <mergeCell ref="J528:L528"/>
    <mergeCell ref="X644:Z644"/>
    <mergeCell ref="M578:N578"/>
    <mergeCell ref="B625:R625"/>
    <mergeCell ref="S625:Z625"/>
    <mergeCell ref="H639:K639"/>
    <mergeCell ref="L639:O639"/>
    <mergeCell ref="B636:F636"/>
    <mergeCell ref="G636:J636"/>
    <mergeCell ref="K636:N636"/>
    <mergeCell ref="O636:R636"/>
    <mergeCell ref="D639:G639"/>
    <mergeCell ref="P578:Q578"/>
    <mergeCell ref="S578:T578"/>
    <mergeCell ref="X634:Z634"/>
    <mergeCell ref="B650:G650"/>
    <mergeCell ref="H650:O650"/>
    <mergeCell ref="P650:V650"/>
    <mergeCell ref="W650:Z650"/>
    <mergeCell ref="B648:G648"/>
    <mergeCell ref="H648:O648"/>
    <mergeCell ref="P648:V648"/>
    <mergeCell ref="W648:Z648"/>
    <mergeCell ref="X636:Z636"/>
    <mergeCell ref="B634:F635"/>
    <mergeCell ref="G634:N634"/>
    <mergeCell ref="O634:R634"/>
    <mergeCell ref="S634:W634"/>
    <mergeCell ref="S635:W635"/>
    <mergeCell ref="X635:Z635"/>
    <mergeCell ref="B639:C639"/>
    <mergeCell ref="B644:D644"/>
    <mergeCell ref="E644:K644"/>
    <mergeCell ref="B640:C640"/>
    <mergeCell ref="L644:Q644"/>
    <mergeCell ref="R644:W644"/>
    <mergeCell ref="R643:W643"/>
    <mergeCell ref="S636:W636"/>
    <mergeCell ref="B645:D645"/>
    <mergeCell ref="E645:K645"/>
    <mergeCell ref="L645:Q645"/>
    <mergeCell ref="R645:W645"/>
    <mergeCell ref="X645:Z645"/>
    <mergeCell ref="B643:D643"/>
    <mergeCell ref="E643:K643"/>
    <mergeCell ref="L643:Q643"/>
    <mergeCell ref="B649:G649"/>
    <mergeCell ref="BU605:BU606"/>
    <mergeCell ref="AI562:AJ562"/>
    <mergeCell ref="D577:D578"/>
    <mergeCell ref="U582:W582"/>
    <mergeCell ref="AG556:AH556"/>
    <mergeCell ref="AL556:AM556"/>
    <mergeCell ref="AN556:AO556"/>
    <mergeCell ref="AS556:AT556"/>
    <mergeCell ref="AU556:AV556"/>
    <mergeCell ref="AY567:AZ567"/>
    <mergeCell ref="B626:R626"/>
    <mergeCell ref="S626:Z626"/>
    <mergeCell ref="AL557:AM557"/>
    <mergeCell ref="AN557:AO557"/>
    <mergeCell ref="L590:M590"/>
    <mergeCell ref="O590:P590"/>
    <mergeCell ref="W590:Y590"/>
    <mergeCell ref="O586:Q586"/>
    <mergeCell ref="R590:S590"/>
    <mergeCell ref="F581:G582"/>
    <mergeCell ref="H581:H582"/>
    <mergeCell ref="I581:J582"/>
    <mergeCell ref="K581:K582"/>
    <mergeCell ref="L581:P581"/>
    <mergeCell ref="E583:E584"/>
    <mergeCell ref="D585:D586"/>
    <mergeCell ref="B621:F621"/>
    <mergeCell ref="W577:X578"/>
    <mergeCell ref="M556:M557"/>
    <mergeCell ref="N556:P557"/>
    <mergeCell ref="E585:E586"/>
    <mergeCell ref="L585:M586"/>
    <mergeCell ref="E571:I571"/>
    <mergeCell ref="N574:O574"/>
    <mergeCell ref="Q574:R574"/>
    <mergeCell ref="T574:U574"/>
    <mergeCell ref="K556:L557"/>
    <mergeCell ref="U556:U557"/>
    <mergeCell ref="E547:F547"/>
    <mergeCell ref="G547:I547"/>
    <mergeCell ref="J547:L547"/>
    <mergeCell ref="M547:N547"/>
    <mergeCell ref="O547:Q547"/>
    <mergeCell ref="E551:F551"/>
    <mergeCell ref="G551:I551"/>
    <mergeCell ref="J551:L551"/>
    <mergeCell ref="M551:N551"/>
    <mergeCell ref="E553:F553"/>
    <mergeCell ref="G553:I553"/>
    <mergeCell ref="J553:L553"/>
    <mergeCell ref="E548:F548"/>
    <mergeCell ref="E550:F550"/>
    <mergeCell ref="E549:F549"/>
    <mergeCell ref="O548:Q548"/>
    <mergeCell ref="Q556:Q557"/>
    <mergeCell ref="R556:R557"/>
    <mergeCell ref="AN547:AO547"/>
    <mergeCell ref="AL541:AM541"/>
    <mergeCell ref="AN541:AO541"/>
    <mergeCell ref="AS541:AT541"/>
    <mergeCell ref="AU541:AV541"/>
    <mergeCell ref="AU546:AV546"/>
    <mergeCell ref="AG541:AH541"/>
    <mergeCell ref="AU535:AV535"/>
    <mergeCell ref="AL537:AM537"/>
    <mergeCell ref="AN537:AO537"/>
    <mergeCell ref="AS537:AT537"/>
    <mergeCell ref="AU537:AV537"/>
    <mergeCell ref="AU538:AV538"/>
    <mergeCell ref="AU536:AV536"/>
    <mergeCell ref="AG535:AH535"/>
    <mergeCell ref="AL546:AM546"/>
    <mergeCell ref="AN543:AO543"/>
    <mergeCell ref="AG537:AH537"/>
    <mergeCell ref="AS539:AT539"/>
    <mergeCell ref="AU540:AV540"/>
    <mergeCell ref="AL539:AM539"/>
    <mergeCell ref="AN539:AO539"/>
    <mergeCell ref="AG540:AH540"/>
    <mergeCell ref="AN544:AO544"/>
    <mergeCell ref="AS544:AT544"/>
    <mergeCell ref="AU544:AV544"/>
    <mergeCell ref="AU542:AV542"/>
    <mergeCell ref="AS543:AT543"/>
    <mergeCell ref="AL544:AM544"/>
    <mergeCell ref="AG534:AH534"/>
    <mergeCell ref="AL534:AM534"/>
    <mergeCell ref="AN534:AO534"/>
    <mergeCell ref="AS534:AT534"/>
    <mergeCell ref="AL533:AM533"/>
    <mergeCell ref="AN533:AO533"/>
    <mergeCell ref="AS533:AT533"/>
    <mergeCell ref="E544:F544"/>
    <mergeCell ref="G544:I544"/>
    <mergeCell ref="J544:L544"/>
    <mergeCell ref="M544:N544"/>
    <mergeCell ref="O544:Q544"/>
    <mergeCell ref="AG533:AH533"/>
    <mergeCell ref="E543:F543"/>
    <mergeCell ref="G543:I543"/>
    <mergeCell ref="J543:L543"/>
    <mergeCell ref="M543:N543"/>
    <mergeCell ref="O543:Q543"/>
    <mergeCell ref="AG536:AH536"/>
    <mergeCell ref="AL536:AM536"/>
    <mergeCell ref="AN536:AO536"/>
    <mergeCell ref="AS536:AT536"/>
    <mergeCell ref="AL535:AM535"/>
    <mergeCell ref="AN535:AO535"/>
    <mergeCell ref="AS535:AT535"/>
    <mergeCell ref="AG538:AH538"/>
    <mergeCell ref="AL538:AM538"/>
    <mergeCell ref="AN538:AO538"/>
    <mergeCell ref="AS538:AT538"/>
    <mergeCell ref="J533:L533"/>
    <mergeCell ref="AG532:AH532"/>
    <mergeCell ref="AL531:AM531"/>
    <mergeCell ref="AN531:AO531"/>
    <mergeCell ref="AS531:AT531"/>
    <mergeCell ref="AU531:AV531"/>
    <mergeCell ref="E542:F542"/>
    <mergeCell ref="G542:I542"/>
    <mergeCell ref="J542:L542"/>
    <mergeCell ref="M542:N542"/>
    <mergeCell ref="O542:Q542"/>
    <mergeCell ref="AG531:AH531"/>
    <mergeCell ref="AU534:AV534"/>
    <mergeCell ref="AU533:AV533"/>
    <mergeCell ref="AU529:AV529"/>
    <mergeCell ref="E541:F541"/>
    <mergeCell ref="G541:I541"/>
    <mergeCell ref="J541:L541"/>
    <mergeCell ref="M541:N541"/>
    <mergeCell ref="O541:Q541"/>
    <mergeCell ref="AG530:AH530"/>
    <mergeCell ref="E540:F540"/>
    <mergeCell ref="G540:I540"/>
    <mergeCell ref="J540:L540"/>
    <mergeCell ref="M540:N540"/>
    <mergeCell ref="O540:Q540"/>
    <mergeCell ref="AG529:AH529"/>
    <mergeCell ref="AL529:AM529"/>
    <mergeCell ref="AN529:AO529"/>
    <mergeCell ref="AS529:AT529"/>
    <mergeCell ref="O531:Q531"/>
    <mergeCell ref="E532:F532"/>
    <mergeCell ref="G532:I532"/>
    <mergeCell ref="M529:N529"/>
    <mergeCell ref="AN528:AO528"/>
    <mergeCell ref="AS528:AT528"/>
    <mergeCell ref="AU528:AV528"/>
    <mergeCell ref="AL532:AM532"/>
    <mergeCell ref="AN532:AO532"/>
    <mergeCell ref="AS532:AT532"/>
    <mergeCell ref="AU532:AV532"/>
    <mergeCell ref="AN527:AO527"/>
    <mergeCell ref="AS527:AT527"/>
    <mergeCell ref="AU527:AV527"/>
    <mergeCell ref="E539:F539"/>
    <mergeCell ref="G539:I539"/>
    <mergeCell ref="J539:L539"/>
    <mergeCell ref="M539:N539"/>
    <mergeCell ref="O539:Q539"/>
    <mergeCell ref="AG528:AH528"/>
    <mergeCell ref="E538:F538"/>
    <mergeCell ref="G538:I538"/>
    <mergeCell ref="J538:L538"/>
    <mergeCell ref="M538:N538"/>
    <mergeCell ref="O538:Q538"/>
    <mergeCell ref="AG527:AH527"/>
    <mergeCell ref="E534:F534"/>
    <mergeCell ref="G534:I534"/>
    <mergeCell ref="J534:L534"/>
    <mergeCell ref="M534:N534"/>
    <mergeCell ref="O534:Q534"/>
    <mergeCell ref="E531:F531"/>
    <mergeCell ref="G531:I531"/>
    <mergeCell ref="J531:L531"/>
    <mergeCell ref="M531:N531"/>
    <mergeCell ref="B520:D520"/>
    <mergeCell ref="B512:C513"/>
    <mergeCell ref="B510:C511"/>
    <mergeCell ref="AS525:AT526"/>
    <mergeCell ref="AU525:AV526"/>
    <mergeCell ref="E537:F537"/>
    <mergeCell ref="G537:I537"/>
    <mergeCell ref="J537:L537"/>
    <mergeCell ref="M537:N537"/>
    <mergeCell ref="O537:Q537"/>
    <mergeCell ref="AD525:AF526"/>
    <mergeCell ref="AG525:AH526"/>
    <mergeCell ref="AK525:AK526"/>
    <mergeCell ref="AM525:AM526"/>
    <mergeCell ref="AO525:AO526"/>
    <mergeCell ref="AQ525:AQ526"/>
    <mergeCell ref="AL530:AM530"/>
    <mergeCell ref="AN530:AO530"/>
    <mergeCell ref="AS530:AT530"/>
    <mergeCell ref="AU530:AV530"/>
    <mergeCell ref="E535:F535"/>
    <mergeCell ref="G535:I535"/>
    <mergeCell ref="J535:L535"/>
    <mergeCell ref="M535:N535"/>
    <mergeCell ref="O535:Q535"/>
    <mergeCell ref="E536:F536"/>
    <mergeCell ref="G536:I536"/>
    <mergeCell ref="J536:L536"/>
    <mergeCell ref="M536:N536"/>
    <mergeCell ref="O536:Q536"/>
    <mergeCell ref="E533:F533"/>
    <mergeCell ref="G533:I533"/>
    <mergeCell ref="AE507:AJ507"/>
    <mergeCell ref="Q520:S520"/>
    <mergeCell ref="H520:K520"/>
    <mergeCell ref="H521:K521"/>
    <mergeCell ref="AK507:AM507"/>
    <mergeCell ref="AE508:AJ508"/>
    <mergeCell ref="AK508:AM508"/>
    <mergeCell ref="E525:F526"/>
    <mergeCell ref="G525:I526"/>
    <mergeCell ref="J525:L526"/>
    <mergeCell ref="M525:N526"/>
    <mergeCell ref="O525:Q526"/>
    <mergeCell ref="AL527:AM527"/>
    <mergeCell ref="V510:V511"/>
    <mergeCell ref="W510:Z511"/>
    <mergeCell ref="AL524:AM524"/>
    <mergeCell ref="AL528:AM528"/>
    <mergeCell ref="K510:M510"/>
    <mergeCell ref="R510:T510"/>
    <mergeCell ref="C507:F507"/>
    <mergeCell ref="E523:F524"/>
    <mergeCell ref="G523:I524"/>
    <mergeCell ref="J523:L524"/>
    <mergeCell ref="M523:N524"/>
    <mergeCell ref="O523:Q524"/>
    <mergeCell ref="T520:V520"/>
    <mergeCell ref="W520:Y520"/>
    <mergeCell ref="B521:D521"/>
    <mergeCell ref="E521:G521"/>
    <mergeCell ref="N521:P521"/>
    <mergeCell ref="Q521:S521"/>
    <mergeCell ref="T521:V521"/>
    <mergeCell ref="O492:P492"/>
    <mergeCell ref="U489:W489"/>
    <mergeCell ref="U490:W490"/>
    <mergeCell ref="E491:E492"/>
    <mergeCell ref="F491:G492"/>
    <mergeCell ref="B504:C505"/>
    <mergeCell ref="U507:X507"/>
    <mergeCell ref="U508:X508"/>
    <mergeCell ref="R507:T507"/>
    <mergeCell ref="R508:T508"/>
    <mergeCell ref="M507:Q507"/>
    <mergeCell ref="M508:Q508"/>
    <mergeCell ref="J507:L507"/>
    <mergeCell ref="J508:L508"/>
    <mergeCell ref="H491:H492"/>
    <mergeCell ref="I491:J492"/>
    <mergeCell ref="K491:K492"/>
    <mergeCell ref="Q489:Q490"/>
    <mergeCell ref="B496:R496"/>
    <mergeCell ref="S496:Z496"/>
    <mergeCell ref="B497:R497"/>
    <mergeCell ref="S497:Z497"/>
    <mergeCell ref="B498:R498"/>
    <mergeCell ref="S498:Z498"/>
    <mergeCell ref="R493:R494"/>
    <mergeCell ref="O494:Q494"/>
    <mergeCell ref="BH494:BJ494"/>
    <mergeCell ref="BH492:BJ492"/>
    <mergeCell ref="E480:F480"/>
    <mergeCell ref="G480:I480"/>
    <mergeCell ref="J480:L480"/>
    <mergeCell ref="M480:N480"/>
    <mergeCell ref="O480:Q480"/>
    <mergeCell ref="BH493:BJ493"/>
    <mergeCell ref="BH486:BJ486"/>
    <mergeCell ref="BH484:BJ484"/>
    <mergeCell ref="BH483:BJ483"/>
    <mergeCell ref="BH482:BJ482"/>
    <mergeCell ref="AI491:AJ491"/>
    <mergeCell ref="T487:T488"/>
    <mergeCell ref="U487:W488"/>
    <mergeCell ref="X487:Y488"/>
    <mergeCell ref="L491:P491"/>
    <mergeCell ref="Q491:Q492"/>
    <mergeCell ref="E483:F483"/>
    <mergeCell ref="AU480:AV480"/>
    <mergeCell ref="J482:L482"/>
    <mergeCell ref="M482:N482"/>
    <mergeCell ref="O482:Q482"/>
    <mergeCell ref="AG483:AH483"/>
    <mergeCell ref="AG482:AH482"/>
    <mergeCell ref="AX481:BB481"/>
    <mergeCell ref="BH488:BJ488"/>
    <mergeCell ref="T491:T492"/>
    <mergeCell ref="U491:W492"/>
    <mergeCell ref="X491:Y492"/>
    <mergeCell ref="G481:I481"/>
    <mergeCell ref="L492:M492"/>
    <mergeCell ref="C487:C488"/>
    <mergeCell ref="D487:D488"/>
    <mergeCell ref="E476:F476"/>
    <mergeCell ref="G476:I476"/>
    <mergeCell ref="J476:L476"/>
    <mergeCell ref="M476:N476"/>
    <mergeCell ref="O476:Q476"/>
    <mergeCell ref="AL485:AM485"/>
    <mergeCell ref="E486:F486"/>
    <mergeCell ref="H486:I486"/>
    <mergeCell ref="E482:F482"/>
    <mergeCell ref="BC488:BG488"/>
    <mergeCell ref="E487:F488"/>
    <mergeCell ref="AN485:AO485"/>
    <mergeCell ref="AL482:AM482"/>
    <mergeCell ref="AN482:AO482"/>
    <mergeCell ref="AS482:AT482"/>
    <mergeCell ref="AU482:AV482"/>
    <mergeCell ref="BC486:BG486"/>
    <mergeCell ref="AG484:AH484"/>
    <mergeCell ref="AL484:AM484"/>
    <mergeCell ref="AN484:AO484"/>
    <mergeCell ref="AS484:AT484"/>
    <mergeCell ref="AL483:AM483"/>
    <mergeCell ref="AN483:AO483"/>
    <mergeCell ref="AS483:AT483"/>
    <mergeCell ref="AU483:AV483"/>
    <mergeCell ref="AX487:BB487"/>
    <mergeCell ref="BC487:BG487"/>
    <mergeCell ref="E481:F481"/>
    <mergeCell ref="AX484:BB484"/>
    <mergeCell ref="BC484:BG484"/>
    <mergeCell ref="BH478:BJ478"/>
    <mergeCell ref="N487:Q488"/>
    <mergeCell ref="AU481:AV481"/>
    <mergeCell ref="AX485:BB486"/>
    <mergeCell ref="BC485:BG485"/>
    <mergeCell ref="BH485:BJ485"/>
    <mergeCell ref="AU484:AV484"/>
    <mergeCell ref="AX488:BB488"/>
    <mergeCell ref="AG479:AH479"/>
    <mergeCell ref="AL479:AM479"/>
    <mergeCell ref="AN479:AO479"/>
    <mergeCell ref="AS479:AT479"/>
    <mergeCell ref="AU479:AV479"/>
    <mergeCell ref="AG480:AH480"/>
    <mergeCell ref="G483:I483"/>
    <mergeCell ref="J483:L483"/>
    <mergeCell ref="M483:N483"/>
    <mergeCell ref="O483:Q483"/>
    <mergeCell ref="G482:I482"/>
    <mergeCell ref="AX482:BB482"/>
    <mergeCell ref="BC482:BG482"/>
    <mergeCell ref="AX483:BB483"/>
    <mergeCell ref="BC483:BG483"/>
    <mergeCell ref="H487:I488"/>
    <mergeCell ref="J487:J488"/>
    <mergeCell ref="BH487:BJ487"/>
    <mergeCell ref="O473:Q473"/>
    <mergeCell ref="AU474:AV474"/>
    <mergeCell ref="BC478:BG478"/>
    <mergeCell ref="AU475:AV475"/>
    <mergeCell ref="BC479:BG479"/>
    <mergeCell ref="AN472:AO472"/>
    <mergeCell ref="AS472:AT472"/>
    <mergeCell ref="BC481:BG481"/>
    <mergeCell ref="AG477:AH477"/>
    <mergeCell ref="AL477:AM477"/>
    <mergeCell ref="J474:L474"/>
    <mergeCell ref="M474:N474"/>
    <mergeCell ref="O474:Q474"/>
    <mergeCell ref="AG472:AH472"/>
    <mergeCell ref="AL472:AM472"/>
    <mergeCell ref="BH481:BJ481"/>
    <mergeCell ref="AU476:AV476"/>
    <mergeCell ref="BC480:BG480"/>
    <mergeCell ref="BH480:BJ480"/>
    <mergeCell ref="BH479:BJ479"/>
    <mergeCell ref="AG475:AH475"/>
    <mergeCell ref="AL475:AM475"/>
    <mergeCell ref="AN475:AO475"/>
    <mergeCell ref="AS475:AT475"/>
    <mergeCell ref="BH477:BJ477"/>
    <mergeCell ref="AG474:AH474"/>
    <mergeCell ref="AL474:AM474"/>
    <mergeCell ref="AN474:AO474"/>
    <mergeCell ref="AS474:AT474"/>
    <mergeCell ref="AL473:AM473"/>
    <mergeCell ref="AN473:AO473"/>
    <mergeCell ref="AS473:AT473"/>
    <mergeCell ref="E474:F474"/>
    <mergeCell ref="G474:I474"/>
    <mergeCell ref="AG473:AH473"/>
    <mergeCell ref="AX477:BB480"/>
    <mergeCell ref="BC477:BG477"/>
    <mergeCell ref="E472:F472"/>
    <mergeCell ref="G472:I472"/>
    <mergeCell ref="J472:L472"/>
    <mergeCell ref="M472:N472"/>
    <mergeCell ref="O472:Q472"/>
    <mergeCell ref="AG481:AH481"/>
    <mergeCell ref="AL481:AM481"/>
    <mergeCell ref="AN481:AO481"/>
    <mergeCell ref="AS481:AT481"/>
    <mergeCell ref="AL480:AM480"/>
    <mergeCell ref="AN480:AO480"/>
    <mergeCell ref="AS480:AT480"/>
    <mergeCell ref="AU472:AV472"/>
    <mergeCell ref="E477:F477"/>
    <mergeCell ref="E475:F475"/>
    <mergeCell ref="G475:I475"/>
    <mergeCell ref="J475:L475"/>
    <mergeCell ref="M475:N475"/>
    <mergeCell ref="O475:Q475"/>
    <mergeCell ref="AG478:AH478"/>
    <mergeCell ref="AN477:AO477"/>
    <mergeCell ref="AS477:AT477"/>
    <mergeCell ref="AU477:AV477"/>
    <mergeCell ref="AG476:AH476"/>
    <mergeCell ref="AL476:AM476"/>
    <mergeCell ref="AN476:AO476"/>
    <mergeCell ref="AS476:AT476"/>
    <mergeCell ref="AU473:AV473"/>
    <mergeCell ref="AL478:AM478"/>
    <mergeCell ref="AN478:AO478"/>
    <mergeCell ref="AS478:AT478"/>
    <mergeCell ref="AU478:AV478"/>
    <mergeCell ref="G469:I469"/>
    <mergeCell ref="J469:L469"/>
    <mergeCell ref="M469:N469"/>
    <mergeCell ref="O469:Q469"/>
    <mergeCell ref="E470:F470"/>
    <mergeCell ref="G470:I470"/>
    <mergeCell ref="J470:L470"/>
    <mergeCell ref="E471:F471"/>
    <mergeCell ref="AG471:AH471"/>
    <mergeCell ref="AU470:AV470"/>
    <mergeCell ref="AL467:AM467"/>
    <mergeCell ref="AN467:AO467"/>
    <mergeCell ref="AS467:AT467"/>
    <mergeCell ref="AL468:AM468"/>
    <mergeCell ref="AN468:AO468"/>
    <mergeCell ref="AS468:AT468"/>
    <mergeCell ref="AG470:AH470"/>
    <mergeCell ref="AL470:AM470"/>
    <mergeCell ref="AN470:AO470"/>
    <mergeCell ref="AS470:AT470"/>
    <mergeCell ref="AS469:AT469"/>
    <mergeCell ref="AU468:AV468"/>
    <mergeCell ref="AU469:AV469"/>
    <mergeCell ref="O468:Q468"/>
    <mergeCell ref="G471:I471"/>
    <mergeCell ref="AL471:AM471"/>
    <mergeCell ref="AN471:AO471"/>
    <mergeCell ref="AS471:AT471"/>
    <mergeCell ref="AU471:AV471"/>
    <mergeCell ref="E463:F463"/>
    <mergeCell ref="G463:I463"/>
    <mergeCell ref="J463:L463"/>
    <mergeCell ref="M463:N463"/>
    <mergeCell ref="O463:Q463"/>
    <mergeCell ref="E462:F462"/>
    <mergeCell ref="G462:I462"/>
    <mergeCell ref="J462:L462"/>
    <mergeCell ref="M462:N462"/>
    <mergeCell ref="O467:Q467"/>
    <mergeCell ref="O462:Q462"/>
    <mergeCell ref="AL462:AM462"/>
    <mergeCell ref="E466:F466"/>
    <mergeCell ref="G466:I466"/>
    <mergeCell ref="J466:L466"/>
    <mergeCell ref="M466:N466"/>
    <mergeCell ref="O466:Q466"/>
    <mergeCell ref="E467:F467"/>
    <mergeCell ref="G467:I467"/>
    <mergeCell ref="J467:L467"/>
    <mergeCell ref="M467:N467"/>
    <mergeCell ref="G464:I464"/>
    <mergeCell ref="J464:L464"/>
    <mergeCell ref="M464:N464"/>
    <mergeCell ref="O464:Q464"/>
    <mergeCell ref="O465:Q465"/>
    <mergeCell ref="E464:F464"/>
    <mergeCell ref="M465:N465"/>
    <mergeCell ref="M460:N460"/>
    <mergeCell ref="O460:Q460"/>
    <mergeCell ref="AG469:AH469"/>
    <mergeCell ref="AL469:AM469"/>
    <mergeCell ref="AN469:AO469"/>
    <mergeCell ref="AG463:AH463"/>
    <mergeCell ref="AL463:AM463"/>
    <mergeCell ref="AN463:AO463"/>
    <mergeCell ref="AS463:AT463"/>
    <mergeCell ref="AU463:AV463"/>
    <mergeCell ref="AU467:AV467"/>
    <mergeCell ref="AN462:AO462"/>
    <mergeCell ref="AS462:AT462"/>
    <mergeCell ref="AU462:AV462"/>
    <mergeCell ref="AG466:AH466"/>
    <mergeCell ref="AL466:AM466"/>
    <mergeCell ref="AN466:AO466"/>
    <mergeCell ref="AS466:AT466"/>
    <mergeCell ref="AU466:AV466"/>
    <mergeCell ref="AG465:AH465"/>
    <mergeCell ref="AL465:AM465"/>
    <mergeCell ref="AN465:AO465"/>
    <mergeCell ref="AS465:AT465"/>
    <mergeCell ref="AU465:AV465"/>
    <mergeCell ref="AG464:AH464"/>
    <mergeCell ref="AL464:AM464"/>
    <mergeCell ref="AN464:AO464"/>
    <mergeCell ref="AS464:AT464"/>
    <mergeCell ref="AU464:AV464"/>
    <mergeCell ref="AG462:AH462"/>
    <mergeCell ref="AL461:AM461"/>
    <mergeCell ref="AN461:AO461"/>
    <mergeCell ref="AS461:AT461"/>
    <mergeCell ref="B454:D457"/>
    <mergeCell ref="E454:F455"/>
    <mergeCell ref="G454:I455"/>
    <mergeCell ref="J454:L455"/>
    <mergeCell ref="M454:N455"/>
    <mergeCell ref="O454:Q455"/>
    <mergeCell ref="E456:F457"/>
    <mergeCell ref="G456:I457"/>
    <mergeCell ref="J456:L457"/>
    <mergeCell ref="M456:N457"/>
    <mergeCell ref="AU461:AV461"/>
    <mergeCell ref="O456:Q457"/>
    <mergeCell ref="AG459:AH459"/>
    <mergeCell ref="AL459:AM459"/>
    <mergeCell ref="AN459:AO459"/>
    <mergeCell ref="AS459:AT459"/>
    <mergeCell ref="AU459:AV459"/>
    <mergeCell ref="AU456:AV457"/>
    <mergeCell ref="AG458:AH458"/>
    <mergeCell ref="AL458:AM458"/>
    <mergeCell ref="AN458:AO458"/>
    <mergeCell ref="AS458:AT458"/>
    <mergeCell ref="AU458:AV458"/>
    <mergeCell ref="AG456:AH457"/>
    <mergeCell ref="AO456:AO457"/>
    <mergeCell ref="AQ456:AQ457"/>
    <mergeCell ref="AS456:AT457"/>
    <mergeCell ref="G460:I460"/>
    <mergeCell ref="J460:L460"/>
    <mergeCell ref="AN455:AO455"/>
    <mergeCell ref="AD456:AF457"/>
    <mergeCell ref="B397:R397"/>
    <mergeCell ref="B452:D452"/>
    <mergeCell ref="AL460:AM460"/>
    <mergeCell ref="AN460:AO460"/>
    <mergeCell ref="AS460:AT460"/>
    <mergeCell ref="Q451:S451"/>
    <mergeCell ref="T451:V451"/>
    <mergeCell ref="W451:Y451"/>
    <mergeCell ref="Q452:S452"/>
    <mergeCell ref="T452:V452"/>
    <mergeCell ref="W452:Y452"/>
    <mergeCell ref="M452:P452"/>
    <mergeCell ref="I451:L451"/>
    <mergeCell ref="I452:L452"/>
    <mergeCell ref="E451:H451"/>
    <mergeCell ref="E452:H452"/>
    <mergeCell ref="AK456:AK457"/>
    <mergeCell ref="AM456:AM457"/>
    <mergeCell ref="S397:Z397"/>
    <mergeCell ref="B398:R398"/>
    <mergeCell ref="S398:Z398"/>
    <mergeCell ref="B399:R399"/>
    <mergeCell ref="E459:F459"/>
    <mergeCell ref="G459:I459"/>
    <mergeCell ref="J459:L459"/>
    <mergeCell ref="M459:N459"/>
    <mergeCell ref="E460:F460"/>
    <mergeCell ref="O459:Q459"/>
    <mergeCell ref="E458:F458"/>
    <mergeCell ref="G458:I458"/>
    <mergeCell ref="S399:Z399"/>
    <mergeCell ref="AL455:AM455"/>
    <mergeCell ref="AG195:AH195"/>
    <mergeCell ref="AI195:AJ195"/>
    <mergeCell ref="AG196:AH196"/>
    <mergeCell ref="AI196:AJ196"/>
    <mergeCell ref="AG194:AH194"/>
    <mergeCell ref="AI194:AJ194"/>
    <mergeCell ref="F197:L197"/>
    <mergeCell ref="M197:R197"/>
    <mergeCell ref="S197:Z197"/>
    <mergeCell ref="M252:O252"/>
    <mergeCell ref="J237:L237"/>
    <mergeCell ref="M237:O237"/>
    <mergeCell ref="P237:R237"/>
    <mergeCell ref="S237:U237"/>
    <mergeCell ref="S208:U208"/>
    <mergeCell ref="B228:R228"/>
    <mergeCell ref="S228:Z228"/>
    <mergeCell ref="B229:R229"/>
    <mergeCell ref="S229:Z229"/>
    <mergeCell ref="B230:R230"/>
    <mergeCell ref="S230:Z230"/>
    <mergeCell ref="E249:G249"/>
    <mergeCell ref="I249:K249"/>
    <mergeCell ref="M249:O249"/>
    <mergeCell ref="E250:G250"/>
    <mergeCell ref="I250:K250"/>
    <mergeCell ref="M250:O250"/>
    <mergeCell ref="V208:Z208"/>
    <mergeCell ref="B200:D200"/>
    <mergeCell ref="B198:E198"/>
    <mergeCell ref="F198:L198"/>
    <mergeCell ref="M198:R198"/>
    <mergeCell ref="AP122:AQ122"/>
    <mergeCell ref="AU122:AV122"/>
    <mergeCell ref="B194:E194"/>
    <mergeCell ref="F194:L194"/>
    <mergeCell ref="M194:R194"/>
    <mergeCell ref="S194:Z194"/>
    <mergeCell ref="U135:W135"/>
    <mergeCell ref="AN137:AP137"/>
    <mergeCell ref="B130:D130"/>
    <mergeCell ref="B131:D131"/>
    <mergeCell ref="B132:D132"/>
    <mergeCell ref="AG124:AI125"/>
    <mergeCell ref="K125:M125"/>
    <mergeCell ref="N125:O125"/>
    <mergeCell ref="R125:T125"/>
    <mergeCell ref="U125:W125"/>
    <mergeCell ref="N124:O124"/>
    <mergeCell ref="P124:Q125"/>
    <mergeCell ref="R124:T124"/>
    <mergeCell ref="U124:W124"/>
    <mergeCell ref="X124:Z125"/>
    <mergeCell ref="AD124:AF125"/>
    <mergeCell ref="AG134:AI134"/>
    <mergeCell ref="AD128:AF128"/>
    <mergeCell ref="AG128:AI128"/>
    <mergeCell ref="K128:M128"/>
    <mergeCell ref="AD132:AF132"/>
    <mergeCell ref="AG132:AI132"/>
    <mergeCell ref="K132:M132"/>
    <mergeCell ref="N132:O132"/>
    <mergeCell ref="P132:Q132"/>
    <mergeCell ref="R132:T132"/>
    <mergeCell ref="AS117:AT117"/>
    <mergeCell ref="AO118:AP118"/>
    <mergeCell ref="AS120:AT120"/>
    <mergeCell ref="AL122:AM122"/>
    <mergeCell ref="AD134:AF134"/>
    <mergeCell ref="U134:W134"/>
    <mergeCell ref="AD135:AF135"/>
    <mergeCell ref="AG135:AI135"/>
    <mergeCell ref="P158:R158"/>
    <mergeCell ref="P159:R159"/>
    <mergeCell ref="U130:W130"/>
    <mergeCell ref="X130:Z130"/>
    <mergeCell ref="AD130:AF130"/>
    <mergeCell ref="AG130:AI130"/>
    <mergeCell ref="K130:M130"/>
    <mergeCell ref="N130:O130"/>
    <mergeCell ref="P129:Q129"/>
    <mergeCell ref="R129:T129"/>
    <mergeCell ref="U129:W129"/>
    <mergeCell ref="AD131:AF131"/>
    <mergeCell ref="AG131:AI131"/>
    <mergeCell ref="AG129:AI129"/>
    <mergeCell ref="K129:M129"/>
    <mergeCell ref="N129:O129"/>
    <mergeCell ref="U132:W132"/>
    <mergeCell ref="X132:Z132"/>
    <mergeCell ref="AD133:AF133"/>
    <mergeCell ref="AG133:AI133"/>
    <mergeCell ref="AD126:AF126"/>
    <mergeCell ref="AG126:AI126"/>
    <mergeCell ref="K126:M126"/>
    <mergeCell ref="N126:O126"/>
    <mergeCell ref="B84:D84"/>
    <mergeCell ref="E84:I84"/>
    <mergeCell ref="J84:N84"/>
    <mergeCell ref="O84:T84"/>
    <mergeCell ref="U84:Z84"/>
    <mergeCell ref="M71:N71"/>
    <mergeCell ref="K76:L76"/>
    <mergeCell ref="M72:N72"/>
    <mergeCell ref="M73:N73"/>
    <mergeCell ref="M74:N74"/>
    <mergeCell ref="J86:N86"/>
    <mergeCell ref="O86:T86"/>
    <mergeCell ref="U86:Z86"/>
    <mergeCell ref="K110:M110"/>
    <mergeCell ref="N110:O110"/>
    <mergeCell ref="P110:Q110"/>
    <mergeCell ref="R110:T110"/>
    <mergeCell ref="U110:W110"/>
    <mergeCell ref="X110:Z110"/>
    <mergeCell ref="G109:H109"/>
    <mergeCell ref="G110:H110"/>
    <mergeCell ref="T100:U100"/>
    <mergeCell ref="K91:M91"/>
    <mergeCell ref="L98:M98"/>
    <mergeCell ref="O98:P98"/>
    <mergeCell ref="R98:S98"/>
    <mergeCell ref="U98:V98"/>
    <mergeCell ref="B92:D93"/>
    <mergeCell ref="E92:G93"/>
    <mergeCell ref="B91:D91"/>
    <mergeCell ref="E91:G91"/>
    <mergeCell ref="H91:J91"/>
    <mergeCell ref="N127:O127"/>
    <mergeCell ref="F117:G117"/>
    <mergeCell ref="K111:M111"/>
    <mergeCell ref="N111:O111"/>
    <mergeCell ref="P111:Q111"/>
    <mergeCell ref="R111:T111"/>
    <mergeCell ref="U111:W111"/>
    <mergeCell ref="X111:Z111"/>
    <mergeCell ref="K112:M112"/>
    <mergeCell ref="N112:O112"/>
    <mergeCell ref="P112:Q112"/>
    <mergeCell ref="R112:T112"/>
    <mergeCell ref="U112:W112"/>
    <mergeCell ref="X112:Z112"/>
    <mergeCell ref="E125:H125"/>
    <mergeCell ref="G111:H111"/>
    <mergeCell ref="K124:M124"/>
    <mergeCell ref="X127:Z127"/>
    <mergeCell ref="P128:Q128"/>
    <mergeCell ref="R128:T128"/>
    <mergeCell ref="U128:W128"/>
    <mergeCell ref="X128:Z128"/>
    <mergeCell ref="G114:H114"/>
    <mergeCell ref="K115:M115"/>
    <mergeCell ref="B85:D85"/>
    <mergeCell ref="E85:I85"/>
    <mergeCell ref="J85:N85"/>
    <mergeCell ref="O85:T85"/>
    <mergeCell ref="K109:M109"/>
    <mergeCell ref="N109:O109"/>
    <mergeCell ref="P109:Q109"/>
    <mergeCell ref="R109:T109"/>
    <mergeCell ref="R107:T107"/>
    <mergeCell ref="AD35:AE35"/>
    <mergeCell ref="AF35:AG35"/>
    <mergeCell ref="M63:N63"/>
    <mergeCell ref="M64:N64"/>
    <mergeCell ref="M65:N65"/>
    <mergeCell ref="M66:N66"/>
    <mergeCell ref="K67:L67"/>
    <mergeCell ref="AD36:AE36"/>
    <mergeCell ref="AF36:AG36"/>
    <mergeCell ref="W97:W98"/>
    <mergeCell ref="D97:D98"/>
    <mergeCell ref="K97:K98"/>
    <mergeCell ref="T97:U97"/>
    <mergeCell ref="M97:O97"/>
    <mergeCell ref="U85:Z85"/>
    <mergeCell ref="B86:D86"/>
    <mergeCell ref="E86:I86"/>
    <mergeCell ref="AP52:AQ52"/>
    <mergeCell ref="K52:O52"/>
    <mergeCell ref="M53:N53"/>
    <mergeCell ref="K60:O60"/>
    <mergeCell ref="J61:K61"/>
    <mergeCell ref="M62:N62"/>
    <mergeCell ref="K57:L57"/>
    <mergeCell ref="K69:O69"/>
    <mergeCell ref="J70:K70"/>
    <mergeCell ref="M75:N75"/>
    <mergeCell ref="X97:Z98"/>
    <mergeCell ref="T91:W91"/>
    <mergeCell ref="T92:W93"/>
    <mergeCell ref="X92:Z93"/>
    <mergeCell ref="X91:Z91"/>
    <mergeCell ref="U109:W109"/>
    <mergeCell ref="BE37:BF37"/>
    <mergeCell ref="J44:K44"/>
    <mergeCell ref="K45:O45"/>
    <mergeCell ref="M46:N46"/>
    <mergeCell ref="AN51:AR51"/>
    <mergeCell ref="AD37:AE37"/>
    <mergeCell ref="AF37:AG37"/>
    <mergeCell ref="Q100:R100"/>
    <mergeCell ref="N91:P91"/>
    <mergeCell ref="N92:P93"/>
    <mergeCell ref="Q91:S91"/>
    <mergeCell ref="Q92:S93"/>
    <mergeCell ref="Q97:R97"/>
    <mergeCell ref="AD39:AF39"/>
    <mergeCell ref="AD40:AF40"/>
    <mergeCell ref="AD41:AF41"/>
    <mergeCell ref="AM36:AN36"/>
    <mergeCell ref="AM37:AN37"/>
    <mergeCell ref="BN26:BR26"/>
    <mergeCell ref="BS26:BW26"/>
    <mergeCell ref="AS25:AT25"/>
    <mergeCell ref="AU29:AY29"/>
    <mergeCell ref="AU27:AY27"/>
    <mergeCell ref="AZ27:BD27"/>
    <mergeCell ref="BE27:BI27"/>
    <mergeCell ref="K50:L50"/>
    <mergeCell ref="AM32:AN32"/>
    <mergeCell ref="AM33:AN33"/>
    <mergeCell ref="AM34:AN34"/>
    <mergeCell ref="AM35:AN35"/>
    <mergeCell ref="AD27:AE27"/>
    <mergeCell ref="AF27:AG27"/>
    <mergeCell ref="AD28:AE28"/>
    <mergeCell ref="AF28:AG28"/>
    <mergeCell ref="AD29:AE29"/>
    <mergeCell ref="AF29:AG29"/>
    <mergeCell ref="AD30:AE30"/>
    <mergeCell ref="AF30:AG30"/>
    <mergeCell ref="AD31:AE31"/>
    <mergeCell ref="AZ25:BD25"/>
    <mergeCell ref="BE25:BI25"/>
    <mergeCell ref="BN27:BR27"/>
    <mergeCell ref="BS27:BW27"/>
    <mergeCell ref="AS28:AT28"/>
    <mergeCell ref="AU32:AV32"/>
    <mergeCell ref="BA32:BB32"/>
    <mergeCell ref="BI32:BM32"/>
    <mergeCell ref="BN28:BR28"/>
    <mergeCell ref="AS32:AT32"/>
    <mergeCell ref="AU36:AV36"/>
    <mergeCell ref="BA36:BB36"/>
    <mergeCell ref="BI36:BM36"/>
    <mergeCell ref="BN32:BR32"/>
    <mergeCell ref="BS32:BW32"/>
    <mergeCell ref="AS31:AT31"/>
    <mergeCell ref="AU35:AV35"/>
    <mergeCell ref="BA35:BB35"/>
    <mergeCell ref="BI35:BM35"/>
    <mergeCell ref="BN29:BR29"/>
    <mergeCell ref="BS29:BW29"/>
    <mergeCell ref="AS30:AT30"/>
    <mergeCell ref="AU34:AV34"/>
    <mergeCell ref="BA34:BB34"/>
    <mergeCell ref="BN30:BR30"/>
    <mergeCell ref="BS30:BW30"/>
    <mergeCell ref="AS29:AT29"/>
    <mergeCell ref="AU33:AV33"/>
    <mergeCell ref="BA33:BB33"/>
    <mergeCell ref="BI33:BM34"/>
    <mergeCell ref="AS19:AT19"/>
    <mergeCell ref="AZ22:BD22"/>
    <mergeCell ref="AM23:AN23"/>
    <mergeCell ref="AZ23:BD23"/>
    <mergeCell ref="BE23:BI23"/>
    <mergeCell ref="AD23:AE23"/>
    <mergeCell ref="AF23:AG23"/>
    <mergeCell ref="AD24:AE24"/>
    <mergeCell ref="AF24:AG24"/>
    <mergeCell ref="AD25:AE25"/>
    <mergeCell ref="AF25:AG25"/>
    <mergeCell ref="AD26:AE26"/>
    <mergeCell ref="AF26:AG26"/>
    <mergeCell ref="BE22:BI22"/>
    <mergeCell ref="AS24:AT24"/>
    <mergeCell ref="BN31:BR31"/>
    <mergeCell ref="BS31:BW31"/>
    <mergeCell ref="AU24:AY24"/>
    <mergeCell ref="AZ24:BD24"/>
    <mergeCell ref="BE24:BI24"/>
    <mergeCell ref="AZ26:BD26"/>
    <mergeCell ref="BE26:BI26"/>
    <mergeCell ref="AS23:AT23"/>
    <mergeCell ref="AU25:AY26"/>
    <mergeCell ref="AZ20:BD20"/>
    <mergeCell ref="BE20:BI20"/>
    <mergeCell ref="AU20:AY20"/>
    <mergeCell ref="AM20:AN20"/>
    <mergeCell ref="AM21:AN21"/>
    <mergeCell ref="AM22:AN22"/>
    <mergeCell ref="AS21:AT21"/>
    <mergeCell ref="AS20:AT20"/>
    <mergeCell ref="AS22:AT22"/>
    <mergeCell ref="AD21:AE21"/>
    <mergeCell ref="AF21:AG21"/>
    <mergeCell ref="AD22:AE22"/>
    <mergeCell ref="AF22:AG22"/>
    <mergeCell ref="BS28:BW28"/>
    <mergeCell ref="AS27:AT27"/>
    <mergeCell ref="AU31:AV31"/>
    <mergeCell ref="BA31:BB31"/>
    <mergeCell ref="BI31:BM31"/>
    <mergeCell ref="AZ29:BD29"/>
    <mergeCell ref="BE29:BI29"/>
    <mergeCell ref="AS26:AT26"/>
    <mergeCell ref="AU30:AV30"/>
    <mergeCell ref="BA30:BB30"/>
    <mergeCell ref="BI30:BM30"/>
    <mergeCell ref="AU21:AY23"/>
    <mergeCell ref="AZ21:BD21"/>
    <mergeCell ref="BE21:BI21"/>
    <mergeCell ref="AS16:AT16"/>
    <mergeCell ref="BE19:BI19"/>
    <mergeCell ref="B16:C16"/>
    <mergeCell ref="D16:E16"/>
    <mergeCell ref="F16:G16"/>
    <mergeCell ref="H16:J16"/>
    <mergeCell ref="K16:M16"/>
    <mergeCell ref="N16:O16"/>
    <mergeCell ref="S16:T16"/>
    <mergeCell ref="AS17:AT17"/>
    <mergeCell ref="N17:O17"/>
    <mergeCell ref="S17:T17"/>
    <mergeCell ref="U17:W17"/>
    <mergeCell ref="X17:Z17"/>
    <mergeCell ref="AZ19:BD19"/>
    <mergeCell ref="P18:R18"/>
    <mergeCell ref="P19:R19"/>
    <mergeCell ref="AM16:AN16"/>
    <mergeCell ref="AM17:AN17"/>
    <mergeCell ref="AM18:AN18"/>
    <mergeCell ref="AM19:AN19"/>
    <mergeCell ref="U18:W18"/>
    <mergeCell ref="X18:Z18"/>
    <mergeCell ref="AS18:AT18"/>
    <mergeCell ref="B19:G19"/>
    <mergeCell ref="H19:J19"/>
    <mergeCell ref="K19:M19"/>
    <mergeCell ref="N19:O19"/>
    <mergeCell ref="S19:T19"/>
    <mergeCell ref="S18:T18"/>
    <mergeCell ref="B18:C18"/>
    <mergeCell ref="D18:E18"/>
    <mergeCell ref="AU11:AY11"/>
    <mergeCell ref="AZ11:BD11"/>
    <mergeCell ref="AS8:AT8"/>
    <mergeCell ref="AU12:AY15"/>
    <mergeCell ref="AZ12:BD12"/>
    <mergeCell ref="AS6:AT6"/>
    <mergeCell ref="AS7:AT7"/>
    <mergeCell ref="AS11:AT11"/>
    <mergeCell ref="AZ15:BD15"/>
    <mergeCell ref="AS14:AT14"/>
    <mergeCell ref="AU17:AY19"/>
    <mergeCell ref="AZ17:BD17"/>
    <mergeCell ref="U16:W16"/>
    <mergeCell ref="H13:J13"/>
    <mergeCell ref="H12:J12"/>
    <mergeCell ref="K12:M12"/>
    <mergeCell ref="N12:O12"/>
    <mergeCell ref="AS15:AT15"/>
    <mergeCell ref="U13:W13"/>
    <mergeCell ref="AS13:AT13"/>
    <mergeCell ref="AC12:AC13"/>
    <mergeCell ref="S12:T12"/>
    <mergeCell ref="S13:T13"/>
    <mergeCell ref="P12:R12"/>
    <mergeCell ref="P13:R13"/>
    <mergeCell ref="P14:R14"/>
    <mergeCell ref="P15:R15"/>
    <mergeCell ref="P16:R16"/>
    <mergeCell ref="P17:R17"/>
    <mergeCell ref="H17:J17"/>
    <mergeCell ref="K17:M17"/>
    <mergeCell ref="X16:Z16"/>
    <mergeCell ref="AC1:AE1"/>
    <mergeCell ref="B3:E4"/>
    <mergeCell ref="F3:M3"/>
    <mergeCell ref="N3:Q3"/>
    <mergeCell ref="R3:U3"/>
    <mergeCell ref="V3:Z3"/>
    <mergeCell ref="F4:I4"/>
    <mergeCell ref="J4:M4"/>
    <mergeCell ref="N4:Q4"/>
    <mergeCell ref="R4:U4"/>
    <mergeCell ref="BE15:BI15"/>
    <mergeCell ref="AS10:AT10"/>
    <mergeCell ref="AZ14:BD14"/>
    <mergeCell ref="BE12:BI12"/>
    <mergeCell ref="AS9:AT9"/>
    <mergeCell ref="B5:E5"/>
    <mergeCell ref="F5:I5"/>
    <mergeCell ref="J5:M5"/>
    <mergeCell ref="N5:Q5"/>
    <mergeCell ref="R5:U5"/>
    <mergeCell ref="V5:Z5"/>
    <mergeCell ref="V4:Z4"/>
    <mergeCell ref="AS4:AT5"/>
    <mergeCell ref="AD9:AE10"/>
    <mergeCell ref="H14:J14"/>
    <mergeCell ref="K14:M14"/>
    <mergeCell ref="N14:O14"/>
    <mergeCell ref="S14:T14"/>
    <mergeCell ref="B12:C13"/>
    <mergeCell ref="D12:G13"/>
    <mergeCell ref="K13:M13"/>
    <mergeCell ref="N13:O13"/>
    <mergeCell ref="BE11:BI11"/>
    <mergeCell ref="BE14:BI14"/>
    <mergeCell ref="C50:D50"/>
    <mergeCell ref="C57:D57"/>
    <mergeCell ref="C67:D67"/>
    <mergeCell ref="C76:D76"/>
    <mergeCell ref="D571:D572"/>
    <mergeCell ref="C571:C572"/>
    <mergeCell ref="AJ137:AK137"/>
    <mergeCell ref="X101:Z101"/>
    <mergeCell ref="N282:P282"/>
    <mergeCell ref="AZ13:BD13"/>
    <mergeCell ref="BE13:BI13"/>
    <mergeCell ref="AS12:AT12"/>
    <mergeCell ref="BE18:BI18"/>
    <mergeCell ref="U14:W14"/>
    <mergeCell ref="X14:Z14"/>
    <mergeCell ref="B451:D451"/>
    <mergeCell ref="M451:P451"/>
    <mergeCell ref="BE16:BI16"/>
    <mergeCell ref="S15:T15"/>
    <mergeCell ref="U15:W15"/>
    <mergeCell ref="X15:Z15"/>
    <mergeCell ref="B15:C15"/>
    <mergeCell ref="D15:E15"/>
    <mergeCell ref="F15:G15"/>
    <mergeCell ref="AU16:AY16"/>
    <mergeCell ref="AZ16:BD16"/>
    <mergeCell ref="U12:W12"/>
    <mergeCell ref="X12:Z13"/>
    <mergeCell ref="AZ18:BD18"/>
    <mergeCell ref="B14:C14"/>
    <mergeCell ref="D14:E14"/>
    <mergeCell ref="F14:G14"/>
    <mergeCell ref="B142:B143"/>
    <mergeCell ref="I142:I143"/>
    <mergeCell ref="Q142:Q144"/>
    <mergeCell ref="K144:K146"/>
    <mergeCell ref="Y145:Z147"/>
    <mergeCell ref="F146:F147"/>
    <mergeCell ref="N146:N147"/>
    <mergeCell ref="S146:S148"/>
    <mergeCell ref="V146:V147"/>
    <mergeCell ref="I147:I148"/>
    <mergeCell ref="B149:E150"/>
    <mergeCell ref="E154:G155"/>
    <mergeCell ref="M154:O155"/>
    <mergeCell ref="U154:W155"/>
    <mergeCell ref="B107:D108"/>
    <mergeCell ref="B109:D109"/>
    <mergeCell ref="B110:D110"/>
    <mergeCell ref="B111:D111"/>
    <mergeCell ref="B112:D112"/>
    <mergeCell ref="B113:D113"/>
    <mergeCell ref="B114:D114"/>
    <mergeCell ref="E109:F109"/>
    <mergeCell ref="E110:F110"/>
    <mergeCell ref="E111:F111"/>
    <mergeCell ref="E112:F112"/>
    <mergeCell ref="X109:Z109"/>
    <mergeCell ref="R126:T126"/>
    <mergeCell ref="U126:W126"/>
    <mergeCell ref="X126:Z126"/>
    <mergeCell ref="P126:Q126"/>
    <mergeCell ref="P130:Q130"/>
    <mergeCell ref="R130:T130"/>
    <mergeCell ref="E221:G221"/>
    <mergeCell ref="I221:K221"/>
    <mergeCell ref="M221:O221"/>
    <mergeCell ref="E222:G222"/>
    <mergeCell ref="I222:K222"/>
    <mergeCell ref="M222:O222"/>
    <mergeCell ref="Q222:S222"/>
    <mergeCell ref="E223:G223"/>
    <mergeCell ref="I223:K223"/>
    <mergeCell ref="E224:G224"/>
    <mergeCell ref="I224:K224"/>
    <mergeCell ref="M224:O224"/>
    <mergeCell ref="Q224:S224"/>
    <mergeCell ref="E225:G225"/>
    <mergeCell ref="I225:K225"/>
    <mergeCell ref="M225:O225"/>
    <mergeCell ref="P161:R161"/>
    <mergeCell ref="P162:R162"/>
    <mergeCell ref="P164:R164"/>
    <mergeCell ref="P165:R165"/>
    <mergeCell ref="F167:H167"/>
    <mergeCell ref="O167:Q167"/>
    <mergeCell ref="B204:G204"/>
    <mergeCell ref="E130:F130"/>
    <mergeCell ref="E131:F131"/>
    <mergeCell ref="K131:M131"/>
    <mergeCell ref="N131:O131"/>
    <mergeCell ref="P131:Q131"/>
    <mergeCell ref="R131:T131"/>
    <mergeCell ref="S201:V202"/>
    <mergeCell ref="O287:Q287"/>
    <mergeCell ref="S287:U287"/>
    <mergeCell ref="C310:L312"/>
    <mergeCell ref="M310:P310"/>
    <mergeCell ref="Q310:S310"/>
    <mergeCell ref="U310:W310"/>
    <mergeCell ref="C307:L309"/>
    <mergeCell ref="M307:P307"/>
    <mergeCell ref="U308:W308"/>
    <mergeCell ref="C299:L300"/>
    <mergeCell ref="M299:P300"/>
    <mergeCell ref="Q299:Z299"/>
    <mergeCell ref="Q300:W300"/>
    <mergeCell ref="X300:Z300"/>
    <mergeCell ref="C301:L303"/>
    <mergeCell ref="M301:P303"/>
    <mergeCell ref="Q301:S303"/>
    <mergeCell ref="T301:T303"/>
    <mergeCell ref="U301:W303"/>
    <mergeCell ref="X310:Z310"/>
    <mergeCell ref="M311:P311"/>
    <mergeCell ref="Q311:S311"/>
    <mergeCell ref="U311:W311"/>
    <mergeCell ref="X311:Z311"/>
    <mergeCell ref="X301:Z303"/>
    <mergeCell ref="C304:L306"/>
    <mergeCell ref="M304:P304"/>
    <mergeCell ref="U305:W305"/>
    <mergeCell ref="X305:Z305"/>
    <mergeCell ref="U306:W306"/>
    <mergeCell ref="X306:Z306"/>
    <mergeCell ref="U307:W307"/>
    <mergeCell ref="C338:D338"/>
    <mergeCell ref="J352:K352"/>
    <mergeCell ref="P352:R352"/>
    <mergeCell ref="T352:V352"/>
    <mergeCell ref="R354:T354"/>
    <mergeCell ref="L357:M357"/>
    <mergeCell ref="S357:T357"/>
    <mergeCell ref="V357:W357"/>
    <mergeCell ref="X312:Z312"/>
    <mergeCell ref="C313:L315"/>
    <mergeCell ref="M313:P313"/>
    <mergeCell ref="Q313:S313"/>
    <mergeCell ref="U313:W313"/>
    <mergeCell ref="X313:Z313"/>
    <mergeCell ref="M314:P314"/>
    <mergeCell ref="Q314:S314"/>
    <mergeCell ref="U314:W314"/>
    <mergeCell ref="X314:Z314"/>
    <mergeCell ref="M315:P315"/>
    <mergeCell ref="Q315:S315"/>
    <mergeCell ref="U315:W315"/>
    <mergeCell ref="X315:Z315"/>
    <mergeCell ref="C316:L318"/>
    <mergeCell ref="E330:G330"/>
    <mergeCell ref="I330:K330"/>
    <mergeCell ref="M330:O330"/>
    <mergeCell ref="L328:M328"/>
    <mergeCell ref="E328:G328"/>
    <mergeCell ref="I328:J328"/>
    <mergeCell ref="K323:M323"/>
    <mergeCell ref="M317:P317"/>
    <mergeCell ref="Q317:S317"/>
    <mergeCell ref="B394:D394"/>
    <mergeCell ref="E394:G394"/>
    <mergeCell ref="Q394:S394"/>
    <mergeCell ref="T394:V394"/>
    <mergeCell ref="W394:Y394"/>
    <mergeCell ref="P378:Q378"/>
    <mergeCell ref="S380:T380"/>
    <mergeCell ref="V380:W380"/>
    <mergeCell ref="O382:Q382"/>
    <mergeCell ref="S384:U384"/>
    <mergeCell ref="L386:N386"/>
    <mergeCell ref="S386:U386"/>
    <mergeCell ref="U339:V339"/>
    <mergeCell ref="U340:V340"/>
    <mergeCell ref="B392:D393"/>
    <mergeCell ref="Q392:S393"/>
    <mergeCell ref="T392:V393"/>
    <mergeCell ref="W392:Y393"/>
    <mergeCell ref="E393:G393"/>
    <mergeCell ref="P358:Q358"/>
    <mergeCell ref="P360:Q360"/>
    <mergeCell ref="S362:T362"/>
    <mergeCell ref="V362:W362"/>
    <mergeCell ref="O364:Q364"/>
    <mergeCell ref="L366:M366"/>
    <mergeCell ref="S366:T366"/>
    <mergeCell ref="V366:W366"/>
    <mergeCell ref="N392:P393"/>
    <mergeCell ref="N394:P394"/>
    <mergeCell ref="E392:M392"/>
    <mergeCell ref="H393:J393"/>
    <mergeCell ref="K393:M393"/>
    <mergeCell ref="AM15:AN15"/>
    <mergeCell ref="C606:F606"/>
    <mergeCell ref="G606:H606"/>
    <mergeCell ref="I606:J606"/>
    <mergeCell ref="K606:L606"/>
    <mergeCell ref="M606:N606"/>
    <mergeCell ref="O606:P606"/>
    <mergeCell ref="C607:F607"/>
    <mergeCell ref="G607:H607"/>
    <mergeCell ref="I607:J607"/>
    <mergeCell ref="K607:L607"/>
    <mergeCell ref="M607:N607"/>
    <mergeCell ref="O607:P607"/>
    <mergeCell ref="C608:D610"/>
    <mergeCell ref="E608:F608"/>
    <mergeCell ref="G608:H608"/>
    <mergeCell ref="I608:J608"/>
    <mergeCell ref="K608:L608"/>
    <mergeCell ref="M608:N608"/>
    <mergeCell ref="O608:P608"/>
    <mergeCell ref="E609:F609"/>
    <mergeCell ref="G609:H609"/>
    <mergeCell ref="I609:J609"/>
    <mergeCell ref="K609:L609"/>
    <mergeCell ref="M609:N609"/>
    <mergeCell ref="O609:P609"/>
    <mergeCell ref="E610:F610"/>
    <mergeCell ref="G610:H610"/>
    <mergeCell ref="I610:J610"/>
    <mergeCell ref="K610:L610"/>
    <mergeCell ref="M610:N610"/>
    <mergeCell ref="O610:P610"/>
    <mergeCell ref="AF9:AG10"/>
    <mergeCell ref="AI9:AK10"/>
    <mergeCell ref="AO9:AO10"/>
    <mergeCell ref="AP9:AP10"/>
    <mergeCell ref="AR9:AR10"/>
    <mergeCell ref="AD11:AE11"/>
    <mergeCell ref="AF11:AG11"/>
    <mergeCell ref="AD12:AE12"/>
    <mergeCell ref="AF12:AG12"/>
    <mergeCell ref="AD13:AE13"/>
    <mergeCell ref="AF13:AG13"/>
    <mergeCell ref="AD14:AE14"/>
    <mergeCell ref="AF14:AG14"/>
    <mergeCell ref="AM9:AN9"/>
    <mergeCell ref="AM10:AN10"/>
    <mergeCell ref="AM11:AN11"/>
    <mergeCell ref="AM12:AN12"/>
    <mergeCell ref="AM13:AN13"/>
    <mergeCell ref="AM14:AN14"/>
    <mergeCell ref="AD33:AE33"/>
    <mergeCell ref="AF33:AG33"/>
    <mergeCell ref="AD15:AE15"/>
    <mergeCell ref="AF15:AG15"/>
    <mergeCell ref="AD16:AE16"/>
    <mergeCell ref="AF16:AG16"/>
    <mergeCell ref="AD17:AE17"/>
    <mergeCell ref="AF17:AG17"/>
    <mergeCell ref="AD18:AE18"/>
    <mergeCell ref="AF18:AG18"/>
    <mergeCell ref="AD19:AE19"/>
    <mergeCell ref="AF19:AG19"/>
    <mergeCell ref="AD20:AE20"/>
    <mergeCell ref="AF20:AG20"/>
    <mergeCell ref="B124:D125"/>
    <mergeCell ref="B126:D126"/>
    <mergeCell ref="B127:D127"/>
    <mergeCell ref="G112:H112"/>
    <mergeCell ref="U107:W107"/>
    <mergeCell ref="H15:J15"/>
    <mergeCell ref="K15:M15"/>
    <mergeCell ref="N15:O15"/>
    <mergeCell ref="B17:C17"/>
    <mergeCell ref="D17:E17"/>
    <mergeCell ref="F17:G17"/>
    <mergeCell ref="Y22:Z22"/>
    <mergeCell ref="F18:G18"/>
    <mergeCell ref="H18:J18"/>
    <mergeCell ref="K18:M18"/>
    <mergeCell ref="N18:O18"/>
    <mergeCell ref="U19:W19"/>
    <mergeCell ref="X19:Z19"/>
    <mergeCell ref="B128:D128"/>
    <mergeCell ref="B129:D129"/>
    <mergeCell ref="E126:F126"/>
    <mergeCell ref="E127:F127"/>
    <mergeCell ref="E128:F128"/>
    <mergeCell ref="E129:F129"/>
    <mergeCell ref="J117:K117"/>
    <mergeCell ref="K114:M114"/>
    <mergeCell ref="AJ525:AJ526"/>
    <mergeCell ref="AJ456:AJ457"/>
    <mergeCell ref="E132:F132"/>
    <mergeCell ref="E124:H124"/>
    <mergeCell ref="AG468:AH468"/>
    <mergeCell ref="J458:L458"/>
    <mergeCell ref="M458:N458"/>
    <mergeCell ref="O458:Q458"/>
    <mergeCell ref="AG467:AH467"/>
    <mergeCell ref="AG460:AH460"/>
    <mergeCell ref="E461:F461"/>
    <mergeCell ref="G461:I461"/>
    <mergeCell ref="J461:L461"/>
    <mergeCell ref="M461:N461"/>
    <mergeCell ref="O461:Q461"/>
    <mergeCell ref="E465:F465"/>
    <mergeCell ref="G465:I465"/>
    <mergeCell ref="J465:L465"/>
    <mergeCell ref="Q309:S309"/>
    <mergeCell ref="N273:P273"/>
    <mergeCell ref="N274:P274"/>
    <mergeCell ref="AD127:AF127"/>
    <mergeCell ref="AG127:AI127"/>
    <mergeCell ref="X129:Z129"/>
    <mergeCell ref="AN524:AO524"/>
    <mergeCell ref="AX525:AX526"/>
    <mergeCell ref="AY525:AY526"/>
    <mergeCell ref="L615:M615"/>
    <mergeCell ref="O615:P615"/>
    <mergeCell ref="R615:S615"/>
    <mergeCell ref="W615:Y615"/>
    <mergeCell ref="G620:J620"/>
    <mergeCell ref="K620:N620"/>
    <mergeCell ref="O620:R620"/>
    <mergeCell ref="S620:V620"/>
    <mergeCell ref="W620:Z620"/>
    <mergeCell ref="E598:G598"/>
    <mergeCell ref="I598:J598"/>
    <mergeCell ref="M598:N598"/>
    <mergeCell ref="P598:R598"/>
    <mergeCell ref="T598:U598"/>
    <mergeCell ref="W598:X598"/>
    <mergeCell ref="T601:V601"/>
    <mergeCell ref="C604:F605"/>
    <mergeCell ref="G604:H605"/>
    <mergeCell ref="I604:P604"/>
    <mergeCell ref="I605:J605"/>
    <mergeCell ref="K605:L605"/>
    <mergeCell ref="M605:N605"/>
    <mergeCell ref="O605:P605"/>
    <mergeCell ref="M533:N533"/>
    <mergeCell ref="O533:Q533"/>
    <mergeCell ref="E529:F529"/>
    <mergeCell ref="G529:I529"/>
    <mergeCell ref="J529:L529"/>
    <mergeCell ref="B523:D526"/>
    <mergeCell ref="AU460:AV460"/>
    <mergeCell ref="AG461:AH461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E107:H107"/>
    <mergeCell ref="E108:H108"/>
    <mergeCell ref="I107:J107"/>
    <mergeCell ref="I108:J108"/>
    <mergeCell ref="I109:J109"/>
    <mergeCell ref="I110:J110"/>
    <mergeCell ref="I111:J111"/>
    <mergeCell ref="I112:J112"/>
    <mergeCell ref="I113:J113"/>
    <mergeCell ref="AD34:AE34"/>
    <mergeCell ref="AF34:AG34"/>
    <mergeCell ref="AF31:AG31"/>
    <mergeCell ref="AD32:AE32"/>
    <mergeCell ref="AF32:AG32"/>
    <mergeCell ref="K107:M107"/>
    <mergeCell ref="N107:O107"/>
    <mergeCell ref="P107:Q108"/>
    <mergeCell ref="H92:J93"/>
    <mergeCell ref="K92:M93"/>
    <mergeCell ref="N100:O100"/>
    <mergeCell ref="E97:I97"/>
    <mergeCell ref="E98:I98"/>
    <mergeCell ref="AD129:AF129"/>
    <mergeCell ref="AI350:AJ350"/>
    <mergeCell ref="AI347:AJ347"/>
    <mergeCell ref="G126:H126"/>
    <mergeCell ref="G127:H127"/>
    <mergeCell ref="G128:H128"/>
    <mergeCell ref="G129:H129"/>
    <mergeCell ref="G130:H130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G131:H131"/>
    <mergeCell ref="I132:J132"/>
    <mergeCell ref="G132:H132"/>
    <mergeCell ref="W287:Y287"/>
    <mergeCell ref="F288:H288"/>
    <mergeCell ref="J288:L288"/>
    <mergeCell ref="N288:P288"/>
    <mergeCell ref="R288:T288"/>
    <mergeCell ref="F289:H289"/>
    <mergeCell ref="J289:L289"/>
    <mergeCell ref="N289:P289"/>
    <mergeCell ref="M286:O286"/>
    <mergeCell ref="Q286:S286"/>
    <mergeCell ref="F287:G287"/>
    <mergeCell ref="I287:J287"/>
    <mergeCell ref="L287:M287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7" orientation="portrait" r:id="rId1"/>
  <headerFooter>
    <oddFooter>&amp;L * 본 검토서 및 계산서는 (사)대한토목학회( &amp;G )의 연구를 통해 검증된 페블테크의 물성 및 계산식에 따라 산출 되었습니다.&amp;G</oddFooter>
  </headerFooter>
  <rowBreaks count="14" manualBreakCount="14">
    <brk id="41" max="26" man="1"/>
    <brk id="87" max="26" man="1"/>
    <brk id="136" max="26" man="1"/>
    <brk id="188" max="26" man="1"/>
    <brk id="233" max="26" man="1"/>
    <brk id="291" max="26" man="1"/>
    <brk id="332" max="26" man="1"/>
    <brk id="364" max="26" man="1"/>
    <brk id="402" max="26" man="1"/>
    <brk id="448" max="26" man="1"/>
    <brk id="499" max="26" man="1"/>
    <brk id="557" max="26" man="1"/>
    <brk id="594" max="26" man="1"/>
    <brk id="629" max="26" man="1"/>
  </rowBreaks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7776-F76F-4B34-94ED-A71E57468186}">
  <dimension ref="A1:CR698"/>
  <sheetViews>
    <sheetView view="pageBreakPreview" zoomScaleNormal="100" zoomScaleSheetLayoutView="100" workbookViewId="0">
      <pane ySplit="1" topLeftCell="A78" activePane="bottomLeft" state="frozen"/>
      <selection activeCell="E13" sqref="E13:G13"/>
      <selection pane="bottomLeft" activeCell="T92" sqref="T92:W93"/>
    </sheetView>
  </sheetViews>
  <sheetFormatPr defaultColWidth="2.875" defaultRowHeight="15" customHeight="1"/>
  <cols>
    <col min="1" max="1" width="3.5" style="3" customWidth="1"/>
    <col min="2" max="2" width="4.375" style="3" customWidth="1"/>
    <col min="3" max="3" width="2.25" style="3" customWidth="1"/>
    <col min="4" max="4" width="4.375" style="3" customWidth="1"/>
    <col min="5" max="12" width="3.5" style="3" customWidth="1"/>
    <col min="13" max="13" width="4" style="3" customWidth="1"/>
    <col min="14" max="17" width="3.5" style="3" customWidth="1"/>
    <col min="18" max="18" width="4.375" style="3" customWidth="1"/>
    <col min="19" max="28" width="3.5" style="3" customWidth="1"/>
    <col min="29" max="29" width="4.125" style="3" customWidth="1"/>
    <col min="30" max="30" width="3.5" style="3" customWidth="1"/>
    <col min="31" max="31" width="4" style="3" bestFit="1" customWidth="1"/>
    <col min="32" max="32" width="6.25" style="3" customWidth="1"/>
    <col min="33" max="33" width="5.25" style="3" bestFit="1" customWidth="1"/>
    <col min="34" max="34" width="4.25" style="3" bestFit="1" customWidth="1"/>
    <col min="35" max="35" width="7.125" style="3" customWidth="1"/>
    <col min="36" max="36" width="7.625" style="3" customWidth="1"/>
    <col min="37" max="37" width="7.25" style="3" customWidth="1"/>
    <col min="38" max="38" width="7.125" style="3" customWidth="1"/>
    <col min="39" max="40" width="4.125" style="3" customWidth="1"/>
    <col min="41" max="41" width="5.125" style="3" customWidth="1"/>
    <col min="42" max="42" width="4.5" style="3" customWidth="1"/>
    <col min="43" max="43" width="4.625" style="3" customWidth="1"/>
    <col min="44" max="44" width="5.875" style="3" customWidth="1"/>
    <col min="45" max="49" width="3.625" style="3" customWidth="1"/>
    <col min="50" max="51" width="7.25" style="5" customWidth="1"/>
    <col min="52" max="52" width="4.625" style="3" customWidth="1"/>
    <col min="53" max="53" width="4.5" style="3" customWidth="1"/>
    <col min="54" max="54" width="3.625" style="3" customWidth="1"/>
    <col min="55" max="55" width="8" style="3" customWidth="1"/>
    <col min="56" max="56" width="4.875" style="3" customWidth="1"/>
    <col min="57" max="57" width="6.5" style="3" customWidth="1"/>
    <col min="58" max="58" width="1.375" style="3" customWidth="1"/>
    <col min="59" max="59" width="5" style="3" customWidth="1"/>
    <col min="60" max="62" width="2.875" style="3" customWidth="1"/>
    <col min="63" max="63" width="2.875" style="3"/>
    <col min="64" max="64" width="2.875" style="3" customWidth="1"/>
    <col min="65" max="69" width="4.875" style="3" customWidth="1"/>
    <col min="70" max="74" width="2.875" style="3"/>
    <col min="75" max="75" width="2.125" style="3" customWidth="1"/>
    <col min="76" max="76" width="2.625" style="3" customWidth="1"/>
    <col min="77" max="77" width="9" style="3" customWidth="1"/>
    <col min="78" max="82" width="2.875" style="3"/>
    <col min="83" max="83" width="7" style="3" customWidth="1"/>
    <col min="84" max="252" width="2.875" style="3"/>
    <col min="253" max="253" width="3.75" style="3" customWidth="1"/>
    <col min="254" max="265" width="2.875" style="3"/>
    <col min="266" max="266" width="8.75" style="3" bestFit="1" customWidth="1"/>
    <col min="267" max="274" width="2.875" style="3"/>
    <col min="275" max="275" width="8.25" style="3" bestFit="1" customWidth="1"/>
    <col min="276" max="276" width="8.75" style="3" bestFit="1" customWidth="1"/>
    <col min="277" max="277" width="7.5" style="3" bestFit="1" customWidth="1"/>
    <col min="278" max="508" width="2.875" style="3"/>
    <col min="509" max="509" width="3.75" style="3" customWidth="1"/>
    <col min="510" max="521" width="2.875" style="3"/>
    <col min="522" max="522" width="8.75" style="3" bestFit="1" customWidth="1"/>
    <col min="523" max="530" width="2.875" style="3"/>
    <col min="531" max="531" width="8.25" style="3" bestFit="1" customWidth="1"/>
    <col min="532" max="532" width="8.75" style="3" bestFit="1" customWidth="1"/>
    <col min="533" max="533" width="7.5" style="3" bestFit="1" customWidth="1"/>
    <col min="534" max="764" width="2.875" style="3"/>
    <col min="765" max="765" width="3.75" style="3" customWidth="1"/>
    <col min="766" max="777" width="2.875" style="3"/>
    <col min="778" max="778" width="8.75" style="3" bestFit="1" customWidth="1"/>
    <col min="779" max="786" width="2.875" style="3"/>
    <col min="787" max="787" width="8.25" style="3" bestFit="1" customWidth="1"/>
    <col min="788" max="788" width="8.75" style="3" bestFit="1" customWidth="1"/>
    <col min="789" max="789" width="7.5" style="3" bestFit="1" customWidth="1"/>
    <col min="790" max="1020" width="2.875" style="3"/>
    <col min="1021" max="1021" width="3.75" style="3" customWidth="1"/>
    <col min="1022" max="1033" width="2.875" style="3"/>
    <col min="1034" max="1034" width="8.75" style="3" bestFit="1" customWidth="1"/>
    <col min="1035" max="1042" width="2.875" style="3"/>
    <col min="1043" max="1043" width="8.25" style="3" bestFit="1" customWidth="1"/>
    <col min="1044" max="1044" width="8.75" style="3" bestFit="1" customWidth="1"/>
    <col min="1045" max="1045" width="7.5" style="3" bestFit="1" customWidth="1"/>
    <col min="1046" max="1276" width="2.875" style="3"/>
    <col min="1277" max="1277" width="3.75" style="3" customWidth="1"/>
    <col min="1278" max="1289" width="2.875" style="3"/>
    <col min="1290" max="1290" width="8.75" style="3" bestFit="1" customWidth="1"/>
    <col min="1291" max="1298" width="2.875" style="3"/>
    <col min="1299" max="1299" width="8.25" style="3" bestFit="1" customWidth="1"/>
    <col min="1300" max="1300" width="8.75" style="3" bestFit="1" customWidth="1"/>
    <col min="1301" max="1301" width="7.5" style="3" bestFit="1" customWidth="1"/>
    <col min="1302" max="1532" width="2.875" style="3"/>
    <col min="1533" max="1533" width="3.75" style="3" customWidth="1"/>
    <col min="1534" max="1545" width="2.875" style="3"/>
    <col min="1546" max="1546" width="8.75" style="3" bestFit="1" customWidth="1"/>
    <col min="1547" max="1554" width="2.875" style="3"/>
    <col min="1555" max="1555" width="8.25" style="3" bestFit="1" customWidth="1"/>
    <col min="1556" max="1556" width="8.75" style="3" bestFit="1" customWidth="1"/>
    <col min="1557" max="1557" width="7.5" style="3" bestFit="1" customWidth="1"/>
    <col min="1558" max="1788" width="2.875" style="3"/>
    <col min="1789" max="1789" width="3.75" style="3" customWidth="1"/>
    <col min="1790" max="1801" width="2.875" style="3"/>
    <col min="1802" max="1802" width="8.75" style="3" bestFit="1" customWidth="1"/>
    <col min="1803" max="1810" width="2.875" style="3"/>
    <col min="1811" max="1811" width="8.25" style="3" bestFit="1" customWidth="1"/>
    <col min="1812" max="1812" width="8.75" style="3" bestFit="1" customWidth="1"/>
    <col min="1813" max="1813" width="7.5" style="3" bestFit="1" customWidth="1"/>
    <col min="1814" max="2044" width="2.875" style="3"/>
    <col min="2045" max="2045" width="3.75" style="3" customWidth="1"/>
    <col min="2046" max="2057" width="2.875" style="3"/>
    <col min="2058" max="2058" width="8.75" style="3" bestFit="1" customWidth="1"/>
    <col min="2059" max="2066" width="2.875" style="3"/>
    <col min="2067" max="2067" width="8.25" style="3" bestFit="1" customWidth="1"/>
    <col min="2068" max="2068" width="8.75" style="3" bestFit="1" customWidth="1"/>
    <col min="2069" max="2069" width="7.5" style="3" bestFit="1" customWidth="1"/>
    <col min="2070" max="2300" width="2.875" style="3"/>
    <col min="2301" max="2301" width="3.75" style="3" customWidth="1"/>
    <col min="2302" max="2313" width="2.875" style="3"/>
    <col min="2314" max="2314" width="8.75" style="3" bestFit="1" customWidth="1"/>
    <col min="2315" max="2322" width="2.875" style="3"/>
    <col min="2323" max="2323" width="8.25" style="3" bestFit="1" customWidth="1"/>
    <col min="2324" max="2324" width="8.75" style="3" bestFit="1" customWidth="1"/>
    <col min="2325" max="2325" width="7.5" style="3" bestFit="1" customWidth="1"/>
    <col min="2326" max="2556" width="2.875" style="3"/>
    <col min="2557" max="2557" width="3.75" style="3" customWidth="1"/>
    <col min="2558" max="2569" width="2.875" style="3"/>
    <col min="2570" max="2570" width="8.75" style="3" bestFit="1" customWidth="1"/>
    <col min="2571" max="2578" width="2.875" style="3"/>
    <col min="2579" max="2579" width="8.25" style="3" bestFit="1" customWidth="1"/>
    <col min="2580" max="2580" width="8.75" style="3" bestFit="1" customWidth="1"/>
    <col min="2581" max="2581" width="7.5" style="3" bestFit="1" customWidth="1"/>
    <col min="2582" max="2812" width="2.875" style="3"/>
    <col min="2813" max="2813" width="3.75" style="3" customWidth="1"/>
    <col min="2814" max="2825" width="2.875" style="3"/>
    <col min="2826" max="2826" width="8.75" style="3" bestFit="1" customWidth="1"/>
    <col min="2827" max="2834" width="2.875" style="3"/>
    <col min="2835" max="2835" width="8.25" style="3" bestFit="1" customWidth="1"/>
    <col min="2836" max="2836" width="8.75" style="3" bestFit="1" customWidth="1"/>
    <col min="2837" max="2837" width="7.5" style="3" bestFit="1" customWidth="1"/>
    <col min="2838" max="3068" width="2.875" style="3"/>
    <col min="3069" max="3069" width="3.75" style="3" customWidth="1"/>
    <col min="3070" max="3081" width="2.875" style="3"/>
    <col min="3082" max="3082" width="8.75" style="3" bestFit="1" customWidth="1"/>
    <col min="3083" max="3090" width="2.875" style="3"/>
    <col min="3091" max="3091" width="8.25" style="3" bestFit="1" customWidth="1"/>
    <col min="3092" max="3092" width="8.75" style="3" bestFit="1" customWidth="1"/>
    <col min="3093" max="3093" width="7.5" style="3" bestFit="1" customWidth="1"/>
    <col min="3094" max="3324" width="2.875" style="3"/>
    <col min="3325" max="3325" width="3.75" style="3" customWidth="1"/>
    <col min="3326" max="3337" width="2.875" style="3"/>
    <col min="3338" max="3338" width="8.75" style="3" bestFit="1" customWidth="1"/>
    <col min="3339" max="3346" width="2.875" style="3"/>
    <col min="3347" max="3347" width="8.25" style="3" bestFit="1" customWidth="1"/>
    <col min="3348" max="3348" width="8.75" style="3" bestFit="1" customWidth="1"/>
    <col min="3349" max="3349" width="7.5" style="3" bestFit="1" customWidth="1"/>
    <col min="3350" max="3580" width="2.875" style="3"/>
    <col min="3581" max="3581" width="3.75" style="3" customWidth="1"/>
    <col min="3582" max="3593" width="2.875" style="3"/>
    <col min="3594" max="3594" width="8.75" style="3" bestFit="1" customWidth="1"/>
    <col min="3595" max="3602" width="2.875" style="3"/>
    <col min="3603" max="3603" width="8.25" style="3" bestFit="1" customWidth="1"/>
    <col min="3604" max="3604" width="8.75" style="3" bestFit="1" customWidth="1"/>
    <col min="3605" max="3605" width="7.5" style="3" bestFit="1" customWidth="1"/>
    <col min="3606" max="3836" width="2.875" style="3"/>
    <col min="3837" max="3837" width="3.75" style="3" customWidth="1"/>
    <col min="3838" max="3849" width="2.875" style="3"/>
    <col min="3850" max="3850" width="8.75" style="3" bestFit="1" customWidth="1"/>
    <col min="3851" max="3858" width="2.875" style="3"/>
    <col min="3859" max="3859" width="8.25" style="3" bestFit="1" customWidth="1"/>
    <col min="3860" max="3860" width="8.75" style="3" bestFit="1" customWidth="1"/>
    <col min="3861" max="3861" width="7.5" style="3" bestFit="1" customWidth="1"/>
    <col min="3862" max="4092" width="2.875" style="3"/>
    <col min="4093" max="4093" width="3.75" style="3" customWidth="1"/>
    <col min="4094" max="4105" width="2.875" style="3"/>
    <col min="4106" max="4106" width="8.75" style="3" bestFit="1" customWidth="1"/>
    <col min="4107" max="4114" width="2.875" style="3"/>
    <col min="4115" max="4115" width="8.25" style="3" bestFit="1" customWidth="1"/>
    <col min="4116" max="4116" width="8.75" style="3" bestFit="1" customWidth="1"/>
    <col min="4117" max="4117" width="7.5" style="3" bestFit="1" customWidth="1"/>
    <col min="4118" max="4348" width="2.875" style="3"/>
    <col min="4349" max="4349" width="3.75" style="3" customWidth="1"/>
    <col min="4350" max="4361" width="2.875" style="3"/>
    <col min="4362" max="4362" width="8.75" style="3" bestFit="1" customWidth="1"/>
    <col min="4363" max="4370" width="2.875" style="3"/>
    <col min="4371" max="4371" width="8.25" style="3" bestFit="1" customWidth="1"/>
    <col min="4372" max="4372" width="8.75" style="3" bestFit="1" customWidth="1"/>
    <col min="4373" max="4373" width="7.5" style="3" bestFit="1" customWidth="1"/>
    <col min="4374" max="4604" width="2.875" style="3"/>
    <col min="4605" max="4605" width="3.75" style="3" customWidth="1"/>
    <col min="4606" max="4617" width="2.875" style="3"/>
    <col min="4618" max="4618" width="8.75" style="3" bestFit="1" customWidth="1"/>
    <col min="4619" max="4626" width="2.875" style="3"/>
    <col min="4627" max="4627" width="8.25" style="3" bestFit="1" customWidth="1"/>
    <col min="4628" max="4628" width="8.75" style="3" bestFit="1" customWidth="1"/>
    <col min="4629" max="4629" width="7.5" style="3" bestFit="1" customWidth="1"/>
    <col min="4630" max="4860" width="2.875" style="3"/>
    <col min="4861" max="4861" width="3.75" style="3" customWidth="1"/>
    <col min="4862" max="4873" width="2.875" style="3"/>
    <col min="4874" max="4874" width="8.75" style="3" bestFit="1" customWidth="1"/>
    <col min="4875" max="4882" width="2.875" style="3"/>
    <col min="4883" max="4883" width="8.25" style="3" bestFit="1" customWidth="1"/>
    <col min="4884" max="4884" width="8.75" style="3" bestFit="1" customWidth="1"/>
    <col min="4885" max="4885" width="7.5" style="3" bestFit="1" customWidth="1"/>
    <col min="4886" max="5116" width="2.875" style="3"/>
    <col min="5117" max="5117" width="3.75" style="3" customWidth="1"/>
    <col min="5118" max="5129" width="2.875" style="3"/>
    <col min="5130" max="5130" width="8.75" style="3" bestFit="1" customWidth="1"/>
    <col min="5131" max="5138" width="2.875" style="3"/>
    <col min="5139" max="5139" width="8.25" style="3" bestFit="1" customWidth="1"/>
    <col min="5140" max="5140" width="8.75" style="3" bestFit="1" customWidth="1"/>
    <col min="5141" max="5141" width="7.5" style="3" bestFit="1" customWidth="1"/>
    <col min="5142" max="5372" width="2.875" style="3"/>
    <col min="5373" max="5373" width="3.75" style="3" customWidth="1"/>
    <col min="5374" max="5385" width="2.875" style="3"/>
    <col min="5386" max="5386" width="8.75" style="3" bestFit="1" customWidth="1"/>
    <col min="5387" max="5394" width="2.875" style="3"/>
    <col min="5395" max="5395" width="8.25" style="3" bestFit="1" customWidth="1"/>
    <col min="5396" max="5396" width="8.75" style="3" bestFit="1" customWidth="1"/>
    <col min="5397" max="5397" width="7.5" style="3" bestFit="1" customWidth="1"/>
    <col min="5398" max="5628" width="2.875" style="3"/>
    <col min="5629" max="5629" width="3.75" style="3" customWidth="1"/>
    <col min="5630" max="5641" width="2.875" style="3"/>
    <col min="5642" max="5642" width="8.75" style="3" bestFit="1" customWidth="1"/>
    <col min="5643" max="5650" width="2.875" style="3"/>
    <col min="5651" max="5651" width="8.25" style="3" bestFit="1" customWidth="1"/>
    <col min="5652" max="5652" width="8.75" style="3" bestFit="1" customWidth="1"/>
    <col min="5653" max="5653" width="7.5" style="3" bestFit="1" customWidth="1"/>
    <col min="5654" max="5884" width="2.875" style="3"/>
    <col min="5885" max="5885" width="3.75" style="3" customWidth="1"/>
    <col min="5886" max="5897" width="2.875" style="3"/>
    <col min="5898" max="5898" width="8.75" style="3" bestFit="1" customWidth="1"/>
    <col min="5899" max="5906" width="2.875" style="3"/>
    <col min="5907" max="5907" width="8.25" style="3" bestFit="1" customWidth="1"/>
    <col min="5908" max="5908" width="8.75" style="3" bestFit="1" customWidth="1"/>
    <col min="5909" max="5909" width="7.5" style="3" bestFit="1" customWidth="1"/>
    <col min="5910" max="6140" width="2.875" style="3"/>
    <col min="6141" max="6141" width="3.75" style="3" customWidth="1"/>
    <col min="6142" max="6153" width="2.875" style="3"/>
    <col min="6154" max="6154" width="8.75" style="3" bestFit="1" customWidth="1"/>
    <col min="6155" max="6162" width="2.875" style="3"/>
    <col min="6163" max="6163" width="8.25" style="3" bestFit="1" customWidth="1"/>
    <col min="6164" max="6164" width="8.75" style="3" bestFit="1" customWidth="1"/>
    <col min="6165" max="6165" width="7.5" style="3" bestFit="1" customWidth="1"/>
    <col min="6166" max="6396" width="2.875" style="3"/>
    <col min="6397" max="6397" width="3.75" style="3" customWidth="1"/>
    <col min="6398" max="6409" width="2.875" style="3"/>
    <col min="6410" max="6410" width="8.75" style="3" bestFit="1" customWidth="1"/>
    <col min="6411" max="6418" width="2.875" style="3"/>
    <col min="6419" max="6419" width="8.25" style="3" bestFit="1" customWidth="1"/>
    <col min="6420" max="6420" width="8.75" style="3" bestFit="1" customWidth="1"/>
    <col min="6421" max="6421" width="7.5" style="3" bestFit="1" customWidth="1"/>
    <col min="6422" max="6652" width="2.875" style="3"/>
    <col min="6653" max="6653" width="3.75" style="3" customWidth="1"/>
    <col min="6654" max="6665" width="2.875" style="3"/>
    <col min="6666" max="6666" width="8.75" style="3" bestFit="1" customWidth="1"/>
    <col min="6667" max="6674" width="2.875" style="3"/>
    <col min="6675" max="6675" width="8.25" style="3" bestFit="1" customWidth="1"/>
    <col min="6676" max="6676" width="8.75" style="3" bestFit="1" customWidth="1"/>
    <col min="6677" max="6677" width="7.5" style="3" bestFit="1" customWidth="1"/>
    <col min="6678" max="6908" width="2.875" style="3"/>
    <col min="6909" max="6909" width="3.75" style="3" customWidth="1"/>
    <col min="6910" max="6921" width="2.875" style="3"/>
    <col min="6922" max="6922" width="8.75" style="3" bestFit="1" customWidth="1"/>
    <col min="6923" max="6930" width="2.875" style="3"/>
    <col min="6931" max="6931" width="8.25" style="3" bestFit="1" customWidth="1"/>
    <col min="6932" max="6932" width="8.75" style="3" bestFit="1" customWidth="1"/>
    <col min="6933" max="6933" width="7.5" style="3" bestFit="1" customWidth="1"/>
    <col min="6934" max="7164" width="2.875" style="3"/>
    <col min="7165" max="7165" width="3.75" style="3" customWidth="1"/>
    <col min="7166" max="7177" width="2.875" style="3"/>
    <col min="7178" max="7178" width="8.75" style="3" bestFit="1" customWidth="1"/>
    <col min="7179" max="7186" width="2.875" style="3"/>
    <col min="7187" max="7187" width="8.25" style="3" bestFit="1" customWidth="1"/>
    <col min="7188" max="7188" width="8.75" style="3" bestFit="1" customWidth="1"/>
    <col min="7189" max="7189" width="7.5" style="3" bestFit="1" customWidth="1"/>
    <col min="7190" max="7420" width="2.875" style="3"/>
    <col min="7421" max="7421" width="3.75" style="3" customWidth="1"/>
    <col min="7422" max="7433" width="2.875" style="3"/>
    <col min="7434" max="7434" width="8.75" style="3" bestFit="1" customWidth="1"/>
    <col min="7435" max="7442" width="2.875" style="3"/>
    <col min="7443" max="7443" width="8.25" style="3" bestFit="1" customWidth="1"/>
    <col min="7444" max="7444" width="8.75" style="3" bestFit="1" customWidth="1"/>
    <col min="7445" max="7445" width="7.5" style="3" bestFit="1" customWidth="1"/>
    <col min="7446" max="7676" width="2.875" style="3"/>
    <col min="7677" max="7677" width="3.75" style="3" customWidth="1"/>
    <col min="7678" max="7689" width="2.875" style="3"/>
    <col min="7690" max="7690" width="8.75" style="3" bestFit="1" customWidth="1"/>
    <col min="7691" max="7698" width="2.875" style="3"/>
    <col min="7699" max="7699" width="8.25" style="3" bestFit="1" customWidth="1"/>
    <col min="7700" max="7700" width="8.75" style="3" bestFit="1" customWidth="1"/>
    <col min="7701" max="7701" width="7.5" style="3" bestFit="1" customWidth="1"/>
    <col min="7702" max="7932" width="2.875" style="3"/>
    <col min="7933" max="7933" width="3.75" style="3" customWidth="1"/>
    <col min="7934" max="7945" width="2.875" style="3"/>
    <col min="7946" max="7946" width="8.75" style="3" bestFit="1" customWidth="1"/>
    <col min="7947" max="7954" width="2.875" style="3"/>
    <col min="7955" max="7955" width="8.25" style="3" bestFit="1" customWidth="1"/>
    <col min="7956" max="7956" width="8.75" style="3" bestFit="1" customWidth="1"/>
    <col min="7957" max="7957" width="7.5" style="3" bestFit="1" customWidth="1"/>
    <col min="7958" max="8188" width="2.875" style="3"/>
    <col min="8189" max="8189" width="3.75" style="3" customWidth="1"/>
    <col min="8190" max="8201" width="2.875" style="3"/>
    <col min="8202" max="8202" width="8.75" style="3" bestFit="1" customWidth="1"/>
    <col min="8203" max="8210" width="2.875" style="3"/>
    <col min="8211" max="8211" width="8.25" style="3" bestFit="1" customWidth="1"/>
    <col min="8212" max="8212" width="8.75" style="3" bestFit="1" customWidth="1"/>
    <col min="8213" max="8213" width="7.5" style="3" bestFit="1" customWidth="1"/>
    <col min="8214" max="8444" width="2.875" style="3"/>
    <col min="8445" max="8445" width="3.75" style="3" customWidth="1"/>
    <col min="8446" max="8457" width="2.875" style="3"/>
    <col min="8458" max="8458" width="8.75" style="3" bestFit="1" customWidth="1"/>
    <col min="8459" max="8466" width="2.875" style="3"/>
    <col min="8467" max="8467" width="8.25" style="3" bestFit="1" customWidth="1"/>
    <col min="8468" max="8468" width="8.75" style="3" bestFit="1" customWidth="1"/>
    <col min="8469" max="8469" width="7.5" style="3" bestFit="1" customWidth="1"/>
    <col min="8470" max="8700" width="2.875" style="3"/>
    <col min="8701" max="8701" width="3.75" style="3" customWidth="1"/>
    <col min="8702" max="8713" width="2.875" style="3"/>
    <col min="8714" max="8714" width="8.75" style="3" bestFit="1" customWidth="1"/>
    <col min="8715" max="8722" width="2.875" style="3"/>
    <col min="8723" max="8723" width="8.25" style="3" bestFit="1" customWidth="1"/>
    <col min="8724" max="8724" width="8.75" style="3" bestFit="1" customWidth="1"/>
    <col min="8725" max="8725" width="7.5" style="3" bestFit="1" customWidth="1"/>
    <col min="8726" max="8956" width="2.875" style="3"/>
    <col min="8957" max="8957" width="3.75" style="3" customWidth="1"/>
    <col min="8958" max="8969" width="2.875" style="3"/>
    <col min="8970" max="8970" width="8.75" style="3" bestFit="1" customWidth="1"/>
    <col min="8971" max="8978" width="2.875" style="3"/>
    <col min="8979" max="8979" width="8.25" style="3" bestFit="1" customWidth="1"/>
    <col min="8980" max="8980" width="8.75" style="3" bestFit="1" customWidth="1"/>
    <col min="8981" max="8981" width="7.5" style="3" bestFit="1" customWidth="1"/>
    <col min="8982" max="9212" width="2.875" style="3"/>
    <col min="9213" max="9213" width="3.75" style="3" customWidth="1"/>
    <col min="9214" max="9225" width="2.875" style="3"/>
    <col min="9226" max="9226" width="8.75" style="3" bestFit="1" customWidth="1"/>
    <col min="9227" max="9234" width="2.875" style="3"/>
    <col min="9235" max="9235" width="8.25" style="3" bestFit="1" customWidth="1"/>
    <col min="9236" max="9236" width="8.75" style="3" bestFit="1" customWidth="1"/>
    <col min="9237" max="9237" width="7.5" style="3" bestFit="1" customWidth="1"/>
    <col min="9238" max="9468" width="2.875" style="3"/>
    <col min="9469" max="9469" width="3.75" style="3" customWidth="1"/>
    <col min="9470" max="9481" width="2.875" style="3"/>
    <col min="9482" max="9482" width="8.75" style="3" bestFit="1" customWidth="1"/>
    <col min="9483" max="9490" width="2.875" style="3"/>
    <col min="9491" max="9491" width="8.25" style="3" bestFit="1" customWidth="1"/>
    <col min="9492" max="9492" width="8.75" style="3" bestFit="1" customWidth="1"/>
    <col min="9493" max="9493" width="7.5" style="3" bestFit="1" customWidth="1"/>
    <col min="9494" max="9724" width="2.875" style="3"/>
    <col min="9725" max="9725" width="3.75" style="3" customWidth="1"/>
    <col min="9726" max="9737" width="2.875" style="3"/>
    <col min="9738" max="9738" width="8.75" style="3" bestFit="1" customWidth="1"/>
    <col min="9739" max="9746" width="2.875" style="3"/>
    <col min="9747" max="9747" width="8.25" style="3" bestFit="1" customWidth="1"/>
    <col min="9748" max="9748" width="8.75" style="3" bestFit="1" customWidth="1"/>
    <col min="9749" max="9749" width="7.5" style="3" bestFit="1" customWidth="1"/>
    <col min="9750" max="9980" width="2.875" style="3"/>
    <col min="9981" max="9981" width="3.75" style="3" customWidth="1"/>
    <col min="9982" max="9993" width="2.875" style="3"/>
    <col min="9994" max="9994" width="8.75" style="3" bestFit="1" customWidth="1"/>
    <col min="9995" max="10002" width="2.875" style="3"/>
    <col min="10003" max="10003" width="8.25" style="3" bestFit="1" customWidth="1"/>
    <col min="10004" max="10004" width="8.75" style="3" bestFit="1" customWidth="1"/>
    <col min="10005" max="10005" width="7.5" style="3" bestFit="1" customWidth="1"/>
    <col min="10006" max="10236" width="2.875" style="3"/>
    <col min="10237" max="10237" width="3.75" style="3" customWidth="1"/>
    <col min="10238" max="10249" width="2.875" style="3"/>
    <col min="10250" max="10250" width="8.75" style="3" bestFit="1" customWidth="1"/>
    <col min="10251" max="10258" width="2.875" style="3"/>
    <col min="10259" max="10259" width="8.25" style="3" bestFit="1" customWidth="1"/>
    <col min="10260" max="10260" width="8.75" style="3" bestFit="1" customWidth="1"/>
    <col min="10261" max="10261" width="7.5" style="3" bestFit="1" customWidth="1"/>
    <col min="10262" max="10492" width="2.875" style="3"/>
    <col min="10493" max="10493" width="3.75" style="3" customWidth="1"/>
    <col min="10494" max="10505" width="2.875" style="3"/>
    <col min="10506" max="10506" width="8.75" style="3" bestFit="1" customWidth="1"/>
    <col min="10507" max="10514" width="2.875" style="3"/>
    <col min="10515" max="10515" width="8.25" style="3" bestFit="1" customWidth="1"/>
    <col min="10516" max="10516" width="8.75" style="3" bestFit="1" customWidth="1"/>
    <col min="10517" max="10517" width="7.5" style="3" bestFit="1" customWidth="1"/>
    <col min="10518" max="10748" width="2.875" style="3"/>
    <col min="10749" max="10749" width="3.75" style="3" customWidth="1"/>
    <col min="10750" max="10761" width="2.875" style="3"/>
    <col min="10762" max="10762" width="8.75" style="3" bestFit="1" customWidth="1"/>
    <col min="10763" max="10770" width="2.875" style="3"/>
    <col min="10771" max="10771" width="8.25" style="3" bestFit="1" customWidth="1"/>
    <col min="10772" max="10772" width="8.75" style="3" bestFit="1" customWidth="1"/>
    <col min="10773" max="10773" width="7.5" style="3" bestFit="1" customWidth="1"/>
    <col min="10774" max="11004" width="2.875" style="3"/>
    <col min="11005" max="11005" width="3.75" style="3" customWidth="1"/>
    <col min="11006" max="11017" width="2.875" style="3"/>
    <col min="11018" max="11018" width="8.75" style="3" bestFit="1" customWidth="1"/>
    <col min="11019" max="11026" width="2.875" style="3"/>
    <col min="11027" max="11027" width="8.25" style="3" bestFit="1" customWidth="1"/>
    <col min="11028" max="11028" width="8.75" style="3" bestFit="1" customWidth="1"/>
    <col min="11029" max="11029" width="7.5" style="3" bestFit="1" customWidth="1"/>
    <col min="11030" max="11260" width="2.875" style="3"/>
    <col min="11261" max="11261" width="3.75" style="3" customWidth="1"/>
    <col min="11262" max="11273" width="2.875" style="3"/>
    <col min="11274" max="11274" width="8.75" style="3" bestFit="1" customWidth="1"/>
    <col min="11275" max="11282" width="2.875" style="3"/>
    <col min="11283" max="11283" width="8.25" style="3" bestFit="1" customWidth="1"/>
    <col min="11284" max="11284" width="8.75" style="3" bestFit="1" customWidth="1"/>
    <col min="11285" max="11285" width="7.5" style="3" bestFit="1" customWidth="1"/>
    <col min="11286" max="11516" width="2.875" style="3"/>
    <col min="11517" max="11517" width="3.75" style="3" customWidth="1"/>
    <col min="11518" max="11529" width="2.875" style="3"/>
    <col min="11530" max="11530" width="8.75" style="3" bestFit="1" customWidth="1"/>
    <col min="11531" max="11538" width="2.875" style="3"/>
    <col min="11539" max="11539" width="8.25" style="3" bestFit="1" customWidth="1"/>
    <col min="11540" max="11540" width="8.75" style="3" bestFit="1" customWidth="1"/>
    <col min="11541" max="11541" width="7.5" style="3" bestFit="1" customWidth="1"/>
    <col min="11542" max="11772" width="2.875" style="3"/>
    <col min="11773" max="11773" width="3.75" style="3" customWidth="1"/>
    <col min="11774" max="11785" width="2.875" style="3"/>
    <col min="11786" max="11786" width="8.75" style="3" bestFit="1" customWidth="1"/>
    <col min="11787" max="11794" width="2.875" style="3"/>
    <col min="11795" max="11795" width="8.25" style="3" bestFit="1" customWidth="1"/>
    <col min="11796" max="11796" width="8.75" style="3" bestFit="1" customWidth="1"/>
    <col min="11797" max="11797" width="7.5" style="3" bestFit="1" customWidth="1"/>
    <col min="11798" max="12028" width="2.875" style="3"/>
    <col min="12029" max="12029" width="3.75" style="3" customWidth="1"/>
    <col min="12030" max="12041" width="2.875" style="3"/>
    <col min="12042" max="12042" width="8.75" style="3" bestFit="1" customWidth="1"/>
    <col min="12043" max="12050" width="2.875" style="3"/>
    <col min="12051" max="12051" width="8.25" style="3" bestFit="1" customWidth="1"/>
    <col min="12052" max="12052" width="8.75" style="3" bestFit="1" customWidth="1"/>
    <col min="12053" max="12053" width="7.5" style="3" bestFit="1" customWidth="1"/>
    <col min="12054" max="12284" width="2.875" style="3"/>
    <col min="12285" max="12285" width="3.75" style="3" customWidth="1"/>
    <col min="12286" max="12297" width="2.875" style="3"/>
    <col min="12298" max="12298" width="8.75" style="3" bestFit="1" customWidth="1"/>
    <col min="12299" max="12306" width="2.875" style="3"/>
    <col min="12307" max="12307" width="8.25" style="3" bestFit="1" customWidth="1"/>
    <col min="12308" max="12308" width="8.75" style="3" bestFit="1" customWidth="1"/>
    <col min="12309" max="12309" width="7.5" style="3" bestFit="1" customWidth="1"/>
    <col min="12310" max="12540" width="2.875" style="3"/>
    <col min="12541" max="12541" width="3.75" style="3" customWidth="1"/>
    <col min="12542" max="12553" width="2.875" style="3"/>
    <col min="12554" max="12554" width="8.75" style="3" bestFit="1" customWidth="1"/>
    <col min="12555" max="12562" width="2.875" style="3"/>
    <col min="12563" max="12563" width="8.25" style="3" bestFit="1" customWidth="1"/>
    <col min="12564" max="12564" width="8.75" style="3" bestFit="1" customWidth="1"/>
    <col min="12565" max="12565" width="7.5" style="3" bestFit="1" customWidth="1"/>
    <col min="12566" max="12796" width="2.875" style="3"/>
    <col min="12797" max="12797" width="3.75" style="3" customWidth="1"/>
    <col min="12798" max="12809" width="2.875" style="3"/>
    <col min="12810" max="12810" width="8.75" style="3" bestFit="1" customWidth="1"/>
    <col min="12811" max="12818" width="2.875" style="3"/>
    <col min="12819" max="12819" width="8.25" style="3" bestFit="1" customWidth="1"/>
    <col min="12820" max="12820" width="8.75" style="3" bestFit="1" customWidth="1"/>
    <col min="12821" max="12821" width="7.5" style="3" bestFit="1" customWidth="1"/>
    <col min="12822" max="13052" width="2.875" style="3"/>
    <col min="13053" max="13053" width="3.75" style="3" customWidth="1"/>
    <col min="13054" max="13065" width="2.875" style="3"/>
    <col min="13066" max="13066" width="8.75" style="3" bestFit="1" customWidth="1"/>
    <col min="13067" max="13074" width="2.875" style="3"/>
    <col min="13075" max="13075" width="8.25" style="3" bestFit="1" customWidth="1"/>
    <col min="13076" max="13076" width="8.75" style="3" bestFit="1" customWidth="1"/>
    <col min="13077" max="13077" width="7.5" style="3" bestFit="1" customWidth="1"/>
    <col min="13078" max="13308" width="2.875" style="3"/>
    <col min="13309" max="13309" width="3.75" style="3" customWidth="1"/>
    <col min="13310" max="13321" width="2.875" style="3"/>
    <col min="13322" max="13322" width="8.75" style="3" bestFit="1" customWidth="1"/>
    <col min="13323" max="13330" width="2.875" style="3"/>
    <col min="13331" max="13331" width="8.25" style="3" bestFit="1" customWidth="1"/>
    <col min="13332" max="13332" width="8.75" style="3" bestFit="1" customWidth="1"/>
    <col min="13333" max="13333" width="7.5" style="3" bestFit="1" customWidth="1"/>
    <col min="13334" max="13564" width="2.875" style="3"/>
    <col min="13565" max="13565" width="3.75" style="3" customWidth="1"/>
    <col min="13566" max="13577" width="2.875" style="3"/>
    <col min="13578" max="13578" width="8.75" style="3" bestFit="1" customWidth="1"/>
    <col min="13579" max="13586" width="2.875" style="3"/>
    <col min="13587" max="13587" width="8.25" style="3" bestFit="1" customWidth="1"/>
    <col min="13588" max="13588" width="8.75" style="3" bestFit="1" customWidth="1"/>
    <col min="13589" max="13589" width="7.5" style="3" bestFit="1" customWidth="1"/>
    <col min="13590" max="13820" width="2.875" style="3"/>
    <col min="13821" max="13821" width="3.75" style="3" customWidth="1"/>
    <col min="13822" max="13833" width="2.875" style="3"/>
    <col min="13834" max="13834" width="8.75" style="3" bestFit="1" customWidth="1"/>
    <col min="13835" max="13842" width="2.875" style="3"/>
    <col min="13843" max="13843" width="8.25" style="3" bestFit="1" customWidth="1"/>
    <col min="13844" max="13844" width="8.75" style="3" bestFit="1" customWidth="1"/>
    <col min="13845" max="13845" width="7.5" style="3" bestFit="1" customWidth="1"/>
    <col min="13846" max="14076" width="2.875" style="3"/>
    <col min="14077" max="14077" width="3.75" style="3" customWidth="1"/>
    <col min="14078" max="14089" width="2.875" style="3"/>
    <col min="14090" max="14090" width="8.75" style="3" bestFit="1" customWidth="1"/>
    <col min="14091" max="14098" width="2.875" style="3"/>
    <col min="14099" max="14099" width="8.25" style="3" bestFit="1" customWidth="1"/>
    <col min="14100" max="14100" width="8.75" style="3" bestFit="1" customWidth="1"/>
    <col min="14101" max="14101" width="7.5" style="3" bestFit="1" customWidth="1"/>
    <col min="14102" max="14332" width="2.875" style="3"/>
    <col min="14333" max="14333" width="3.75" style="3" customWidth="1"/>
    <col min="14334" max="14345" width="2.875" style="3"/>
    <col min="14346" max="14346" width="8.75" style="3" bestFit="1" customWidth="1"/>
    <col min="14347" max="14354" width="2.875" style="3"/>
    <col min="14355" max="14355" width="8.25" style="3" bestFit="1" customWidth="1"/>
    <col min="14356" max="14356" width="8.75" style="3" bestFit="1" customWidth="1"/>
    <col min="14357" max="14357" width="7.5" style="3" bestFit="1" customWidth="1"/>
    <col min="14358" max="14588" width="2.875" style="3"/>
    <col min="14589" max="14589" width="3.75" style="3" customWidth="1"/>
    <col min="14590" max="14601" width="2.875" style="3"/>
    <col min="14602" max="14602" width="8.75" style="3" bestFit="1" customWidth="1"/>
    <col min="14603" max="14610" width="2.875" style="3"/>
    <col min="14611" max="14611" width="8.25" style="3" bestFit="1" customWidth="1"/>
    <col min="14612" max="14612" width="8.75" style="3" bestFit="1" customWidth="1"/>
    <col min="14613" max="14613" width="7.5" style="3" bestFit="1" customWidth="1"/>
    <col min="14614" max="14844" width="2.875" style="3"/>
    <col min="14845" max="14845" width="3.75" style="3" customWidth="1"/>
    <col min="14846" max="14857" width="2.875" style="3"/>
    <col min="14858" max="14858" width="8.75" style="3" bestFit="1" customWidth="1"/>
    <col min="14859" max="14866" width="2.875" style="3"/>
    <col min="14867" max="14867" width="8.25" style="3" bestFit="1" customWidth="1"/>
    <col min="14868" max="14868" width="8.75" style="3" bestFit="1" customWidth="1"/>
    <col min="14869" max="14869" width="7.5" style="3" bestFit="1" customWidth="1"/>
    <col min="14870" max="15100" width="2.875" style="3"/>
    <col min="15101" max="15101" width="3.75" style="3" customWidth="1"/>
    <col min="15102" max="15113" width="2.875" style="3"/>
    <col min="15114" max="15114" width="8.75" style="3" bestFit="1" customWidth="1"/>
    <col min="15115" max="15122" width="2.875" style="3"/>
    <col min="15123" max="15123" width="8.25" style="3" bestFit="1" customWidth="1"/>
    <col min="15124" max="15124" width="8.75" style="3" bestFit="1" customWidth="1"/>
    <col min="15125" max="15125" width="7.5" style="3" bestFit="1" customWidth="1"/>
    <col min="15126" max="15356" width="2.875" style="3"/>
    <col min="15357" max="15357" width="3.75" style="3" customWidth="1"/>
    <col min="15358" max="15369" width="2.875" style="3"/>
    <col min="15370" max="15370" width="8.75" style="3" bestFit="1" customWidth="1"/>
    <col min="15371" max="15378" width="2.875" style="3"/>
    <col min="15379" max="15379" width="8.25" style="3" bestFit="1" customWidth="1"/>
    <col min="15380" max="15380" width="8.75" style="3" bestFit="1" customWidth="1"/>
    <col min="15381" max="15381" width="7.5" style="3" bestFit="1" customWidth="1"/>
    <col min="15382" max="15612" width="2.875" style="3"/>
    <col min="15613" max="15613" width="3.75" style="3" customWidth="1"/>
    <col min="15614" max="15625" width="2.875" style="3"/>
    <col min="15626" max="15626" width="8.75" style="3" bestFit="1" customWidth="1"/>
    <col min="15627" max="15634" width="2.875" style="3"/>
    <col min="15635" max="15635" width="8.25" style="3" bestFit="1" customWidth="1"/>
    <col min="15636" max="15636" width="8.75" style="3" bestFit="1" customWidth="1"/>
    <col min="15637" max="15637" width="7.5" style="3" bestFit="1" customWidth="1"/>
    <col min="15638" max="15868" width="2.875" style="3"/>
    <col min="15869" max="15869" width="3.75" style="3" customWidth="1"/>
    <col min="15870" max="15881" width="2.875" style="3"/>
    <col min="15882" max="15882" width="8.75" style="3" bestFit="1" customWidth="1"/>
    <col min="15883" max="15890" width="2.875" style="3"/>
    <col min="15891" max="15891" width="8.25" style="3" bestFit="1" customWidth="1"/>
    <col min="15892" max="15892" width="8.75" style="3" bestFit="1" customWidth="1"/>
    <col min="15893" max="15893" width="7.5" style="3" bestFit="1" customWidth="1"/>
    <col min="15894" max="16124" width="2.875" style="3"/>
    <col min="16125" max="16125" width="3.75" style="3" customWidth="1"/>
    <col min="16126" max="16137" width="2.875" style="3"/>
    <col min="16138" max="16138" width="8.75" style="3" bestFit="1" customWidth="1"/>
    <col min="16139" max="16146" width="2.875" style="3"/>
    <col min="16147" max="16147" width="8.25" style="3" bestFit="1" customWidth="1"/>
    <col min="16148" max="16148" width="8.75" style="3" bestFit="1" customWidth="1"/>
    <col min="16149" max="16149" width="7.5" style="3" bestFit="1" customWidth="1"/>
    <col min="16150" max="16384" width="2.875" style="3"/>
  </cols>
  <sheetData>
    <row r="1" spans="1:82" ht="42.75" customHeight="1">
      <c r="A1" s="785" t="s">
        <v>0</v>
      </c>
      <c r="B1" s="786" t="str">
        <f>"페블테크 지내력 검토("&amp;입력!B4&amp;") - ("&amp;AC1&amp;")"</f>
        <v>페블테크 지내력 검토(전북 전주시 완산구 상림동 596 다세대주택 신축공사) - (지상1층)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065" t="s">
        <v>552</v>
      </c>
      <c r="AD1" s="1065"/>
      <c r="AE1" s="1065"/>
      <c r="AF1" s="783">
        <f>+F5</f>
        <v>1.85</v>
      </c>
      <c r="AG1" s="783">
        <f>+J5</f>
        <v>2.5</v>
      </c>
      <c r="AH1" s="784">
        <f>+N5</f>
        <v>1.1599999999999999</v>
      </c>
      <c r="AI1" s="540">
        <f>+S228</f>
        <v>87.8</v>
      </c>
      <c r="AJ1" s="541">
        <f>+S496</f>
        <v>23.91</v>
      </c>
      <c r="AK1" s="3">
        <f>+S397+X101</f>
        <v>181.3</v>
      </c>
      <c r="AL1" s="541">
        <f>+S625</f>
        <v>5.53</v>
      </c>
      <c r="AM1" s="541"/>
      <c r="AT1" s="461" t="s">
        <v>514</v>
      </c>
      <c r="AX1" s="4"/>
    </row>
    <row r="2" spans="1:82" ht="25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453"/>
      <c r="W2" s="453"/>
      <c r="X2" s="453"/>
      <c r="Y2" s="453"/>
      <c r="Z2" s="453"/>
      <c r="AA2" s="9"/>
      <c r="AB2" s="9"/>
      <c r="AC2" s="9"/>
      <c r="AD2" s="452" t="s">
        <v>2</v>
      </c>
      <c r="AE2" s="452" t="s">
        <v>3</v>
      </c>
      <c r="AF2" s="452"/>
      <c r="AT2" s="74" t="s">
        <v>513</v>
      </c>
      <c r="AX2" s="4"/>
    </row>
    <row r="3" spans="1:82" ht="18" customHeight="1">
      <c r="A3" s="6"/>
      <c r="B3" s="1098" t="s">
        <v>4</v>
      </c>
      <c r="C3" s="1098"/>
      <c r="D3" s="1098"/>
      <c r="E3" s="1099"/>
      <c r="F3" s="1102" t="s">
        <v>5</v>
      </c>
      <c r="G3" s="1103"/>
      <c r="H3" s="1103"/>
      <c r="I3" s="1103"/>
      <c r="J3" s="1103"/>
      <c r="K3" s="1103"/>
      <c r="L3" s="1103"/>
      <c r="M3" s="1104"/>
      <c r="N3" s="1105" t="s">
        <v>6</v>
      </c>
      <c r="O3" s="1106"/>
      <c r="P3" s="1106"/>
      <c r="Q3" s="1107"/>
      <c r="R3" s="1105" t="s">
        <v>7</v>
      </c>
      <c r="S3" s="1106"/>
      <c r="T3" s="1106"/>
      <c r="U3" s="1107"/>
      <c r="V3" s="1108" t="s">
        <v>8</v>
      </c>
      <c r="W3" s="1109"/>
      <c r="X3" s="1109"/>
      <c r="Y3" s="1109"/>
      <c r="Z3" s="1109"/>
      <c r="AA3" s="9"/>
      <c r="AB3" s="9"/>
      <c r="AC3" s="9"/>
      <c r="AD3" s="452" t="s">
        <v>9</v>
      </c>
      <c r="AE3" s="452" t="s">
        <v>10</v>
      </c>
      <c r="AF3" s="452"/>
      <c r="AX3" s="11"/>
      <c r="AY3" s="12"/>
      <c r="AZ3" s="13"/>
      <c r="BA3" s="13"/>
      <c r="BK3" s="14"/>
      <c r="BL3" s="13"/>
      <c r="BM3" s="13"/>
      <c r="BN3" s="13"/>
      <c r="BO3" s="13"/>
      <c r="BP3" s="15"/>
      <c r="BQ3" s="16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18" customHeight="1">
      <c r="A4" s="6"/>
      <c r="B4" s="1100"/>
      <c r="C4" s="1100"/>
      <c r="D4" s="1100"/>
      <c r="E4" s="1101"/>
      <c r="F4" s="1110" t="s">
        <v>12</v>
      </c>
      <c r="G4" s="1111"/>
      <c r="H4" s="1111"/>
      <c r="I4" s="1112"/>
      <c r="J4" s="1110" t="s">
        <v>13</v>
      </c>
      <c r="K4" s="1111"/>
      <c r="L4" s="1111"/>
      <c r="M4" s="1112"/>
      <c r="N4" s="1113" t="s">
        <v>14</v>
      </c>
      <c r="O4" s="1114"/>
      <c r="P4" s="1114"/>
      <c r="Q4" s="1115"/>
      <c r="R4" s="1116" t="s">
        <v>15</v>
      </c>
      <c r="S4" s="1117"/>
      <c r="T4" s="1117"/>
      <c r="U4" s="1118"/>
      <c r="V4" s="1138" t="s">
        <v>16</v>
      </c>
      <c r="W4" s="1139"/>
      <c r="X4" s="1139"/>
      <c r="Y4" s="1139"/>
      <c r="Z4" s="1139"/>
      <c r="AA4" s="9"/>
      <c r="AB4" s="9"/>
      <c r="AC4" s="9"/>
      <c r="AD4" s="452" t="s">
        <v>17</v>
      </c>
      <c r="AE4" s="452" t="s">
        <v>18</v>
      </c>
      <c r="AF4" s="452"/>
      <c r="AS4" s="1140"/>
      <c r="AT4" s="1140"/>
      <c r="AX4" s="11"/>
      <c r="AY4" s="12"/>
      <c r="AZ4" s="13"/>
      <c r="BA4" s="13"/>
      <c r="BK4" s="14"/>
      <c r="BL4" s="13"/>
      <c r="BM4" s="13"/>
      <c r="BN4" s="21"/>
      <c r="BO4" s="21"/>
      <c r="BP4" s="21"/>
      <c r="BQ4" s="21"/>
      <c r="BR4" s="21"/>
      <c r="BS4" s="20"/>
      <c r="BT4" s="20"/>
      <c r="BU4" s="20"/>
      <c r="BV4" s="20"/>
      <c r="BW4" s="20"/>
    </row>
    <row r="5" spans="1:82" ht="18" customHeight="1">
      <c r="A5" s="6"/>
      <c r="B5" s="1125" t="str">
        <f>+입력!D25</f>
        <v>BH-1</v>
      </c>
      <c r="C5" s="1125"/>
      <c r="D5" s="1125"/>
      <c r="E5" s="1126"/>
      <c r="F5" s="1127">
        <v>1.85</v>
      </c>
      <c r="G5" s="1128"/>
      <c r="H5" s="1128"/>
      <c r="I5" s="1129"/>
      <c r="J5" s="1127">
        <v>2.5</v>
      </c>
      <c r="K5" s="1128"/>
      <c r="L5" s="1128"/>
      <c r="M5" s="1129"/>
      <c r="N5" s="1130">
        <f>+AG43</f>
        <v>1.1599999999999999</v>
      </c>
      <c r="O5" s="1131"/>
      <c r="P5" s="1131"/>
      <c r="Q5" s="1132"/>
      <c r="R5" s="1133">
        <f>+입력!D6</f>
        <v>150</v>
      </c>
      <c r="S5" s="1134"/>
      <c r="T5" s="1134"/>
      <c r="U5" s="1135"/>
      <c r="V5" s="1136">
        <f>+입력!B25</f>
        <v>2.72</v>
      </c>
      <c r="W5" s="1137"/>
      <c r="X5" s="1137"/>
      <c r="Y5" s="1137"/>
      <c r="Z5" s="1137"/>
      <c r="AA5" s="9"/>
      <c r="AB5" s="9"/>
      <c r="AC5" s="9"/>
      <c r="AD5" s="452" t="s">
        <v>28</v>
      </c>
      <c r="AE5" s="452" t="s">
        <v>29</v>
      </c>
      <c r="AF5" s="452"/>
      <c r="AG5" s="10"/>
      <c r="AH5" s="10"/>
      <c r="AS5" s="1140"/>
      <c r="AT5" s="1140"/>
      <c r="AX5" s="11"/>
      <c r="AY5" s="12"/>
      <c r="AZ5" s="13"/>
      <c r="BA5" s="13"/>
      <c r="BK5" s="14"/>
      <c r="BL5" s="13"/>
      <c r="BM5" s="13"/>
      <c r="BN5" s="17"/>
      <c r="BO5" s="17"/>
      <c r="BP5" s="17"/>
      <c r="BQ5" s="17"/>
      <c r="BR5" s="17"/>
      <c r="BS5" s="17"/>
      <c r="BT5" s="17"/>
      <c r="BU5" s="17"/>
      <c r="BV5" s="17"/>
      <c r="BW5" s="17"/>
    </row>
    <row r="6" spans="1:82" ht="18" customHeight="1">
      <c r="A6" s="6"/>
      <c r="B6" s="457"/>
      <c r="C6" s="458"/>
      <c r="D6" s="458"/>
      <c r="E6" s="458"/>
      <c r="F6" s="458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60"/>
      <c r="S6" s="460"/>
      <c r="T6" s="460"/>
      <c r="U6" s="460"/>
      <c r="V6" s="459"/>
      <c r="W6" s="459"/>
      <c r="X6" s="459"/>
      <c r="Y6" s="459"/>
      <c r="Z6" s="459"/>
      <c r="AA6" s="9"/>
      <c r="AB6" s="9"/>
      <c r="AC6" s="9"/>
      <c r="AD6" s="452" t="s">
        <v>33</v>
      </c>
      <c r="AE6" s="452" t="s">
        <v>34</v>
      </c>
      <c r="AF6" s="452"/>
      <c r="AS6" s="1073"/>
      <c r="AT6" s="1073"/>
      <c r="AX6" s="11"/>
      <c r="AY6" s="12"/>
      <c r="AZ6" s="13"/>
      <c r="BA6" s="13"/>
      <c r="BK6" s="14"/>
      <c r="BL6" s="13"/>
      <c r="BM6" s="13"/>
    </row>
    <row r="7" spans="1:82" ht="18" customHeight="1">
      <c r="A7" s="6"/>
      <c r="B7" s="457"/>
      <c r="C7" s="562" t="s">
        <v>423</v>
      </c>
      <c r="D7" s="563"/>
      <c r="E7" s="563"/>
      <c r="F7" s="563"/>
      <c r="G7" s="564" t="str">
        <f>+입력!C8</f>
        <v>매트기초</v>
      </c>
      <c r="H7" s="564"/>
      <c r="I7" s="564"/>
      <c r="J7" s="564" t="str">
        <f>+입력!D8</f>
        <v>THK 500</v>
      </c>
      <c r="K7" s="564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59"/>
      <c r="AA7" s="9"/>
      <c r="AB7" s="9"/>
      <c r="AC7" s="9"/>
      <c r="AD7" s="452" t="s">
        <v>38</v>
      </c>
      <c r="AE7" s="452" t="s">
        <v>39</v>
      </c>
      <c r="AF7" s="452"/>
      <c r="AG7" s="10"/>
      <c r="AH7" s="10"/>
      <c r="AI7" s="10"/>
      <c r="AJ7" s="10"/>
      <c r="AK7" s="10"/>
      <c r="AS7" s="1073"/>
      <c r="AT7" s="1073"/>
      <c r="AX7" s="11"/>
      <c r="AY7" s="12"/>
      <c r="AZ7" s="13"/>
      <c r="BA7" s="13"/>
      <c r="BK7" s="14"/>
      <c r="BL7" s="13"/>
      <c r="BM7" s="13"/>
    </row>
    <row r="8" spans="1:82" ht="18" customHeight="1">
      <c r="A8" s="6"/>
      <c r="B8" s="8"/>
      <c r="C8" s="74"/>
      <c r="D8" s="510"/>
      <c r="E8" s="463"/>
      <c r="F8" s="463"/>
      <c r="G8" s="463"/>
      <c r="H8" s="463"/>
      <c r="I8" s="463"/>
      <c r="J8" s="463"/>
      <c r="K8" s="463"/>
      <c r="L8" s="463"/>
      <c r="M8" s="463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52" t="s">
        <v>44</v>
      </c>
      <c r="AE8" s="452" t="s">
        <v>45</v>
      </c>
      <c r="AF8" s="452"/>
      <c r="AS8" s="1073"/>
      <c r="AT8" s="1073"/>
      <c r="AU8" s="693"/>
      <c r="AV8" s="693"/>
      <c r="AX8" s="12"/>
      <c r="AY8" s="12"/>
      <c r="AZ8" s="12"/>
      <c r="BA8" s="694"/>
      <c r="BB8" s="694"/>
      <c r="BC8" s="682"/>
      <c r="BD8" s="695"/>
      <c r="BE8" s="695"/>
      <c r="BF8" s="11"/>
      <c r="BG8" s="692"/>
      <c r="BH8" s="40"/>
      <c r="BI8" s="20"/>
      <c r="BJ8" s="20"/>
      <c r="BK8" s="20"/>
      <c r="BL8" s="20"/>
      <c r="BM8" s="20"/>
    </row>
    <row r="9" spans="1:82" ht="18" customHeight="1">
      <c r="A9" s="6"/>
      <c r="B9" s="8"/>
      <c r="C9" s="8"/>
      <c r="D9" s="510"/>
      <c r="E9" s="463"/>
      <c r="F9" s="463"/>
      <c r="G9" s="463"/>
      <c r="H9" s="463"/>
      <c r="I9" s="463"/>
      <c r="J9" s="463"/>
      <c r="K9" s="463"/>
      <c r="L9" s="463"/>
      <c r="M9" s="463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D9" s="968" t="s">
        <v>26</v>
      </c>
      <c r="AE9" s="968"/>
      <c r="AF9" s="957" t="s">
        <v>27</v>
      </c>
      <c r="AG9" s="957"/>
      <c r="AI9" s="958" t="s">
        <v>19</v>
      </c>
      <c r="AJ9" s="959"/>
      <c r="AK9" s="960"/>
      <c r="AL9" s="679" t="s">
        <v>20</v>
      </c>
      <c r="AM9" s="959" t="s">
        <v>21</v>
      </c>
      <c r="AN9" s="960"/>
      <c r="AO9" s="964" t="s">
        <v>538</v>
      </c>
      <c r="AP9" s="966" t="s">
        <v>143</v>
      </c>
      <c r="AQ9" s="11"/>
      <c r="AR9" s="968" t="s">
        <v>25</v>
      </c>
      <c r="AS9" s="1073"/>
      <c r="AT9" s="1073"/>
      <c r="AU9" s="693"/>
      <c r="AV9" s="693"/>
      <c r="AX9" s="12"/>
      <c r="AY9" s="12"/>
      <c r="AZ9" s="12"/>
      <c r="BA9" s="694"/>
      <c r="BB9" s="694"/>
      <c r="BC9" s="682"/>
      <c r="BD9" s="694"/>
      <c r="BE9" s="694"/>
      <c r="BF9" s="11"/>
      <c r="BG9" s="692"/>
      <c r="BH9" s="40"/>
      <c r="BI9" s="20"/>
      <c r="BJ9" s="20"/>
      <c r="BK9" s="20"/>
      <c r="BL9" s="20"/>
      <c r="BM9" s="20"/>
    </row>
    <row r="10" spans="1:82" ht="18" customHeight="1">
      <c r="A10" s="6"/>
      <c r="B10" s="8"/>
      <c r="C10" s="8"/>
      <c r="D10" s="7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D10" s="968"/>
      <c r="AE10" s="968"/>
      <c r="AF10" s="957"/>
      <c r="AG10" s="957"/>
      <c r="AI10" s="961"/>
      <c r="AJ10" s="962"/>
      <c r="AK10" s="963"/>
      <c r="AL10" s="680"/>
      <c r="AM10" s="962" t="s">
        <v>30</v>
      </c>
      <c r="AN10" s="963"/>
      <c r="AO10" s="965"/>
      <c r="AP10" s="967"/>
      <c r="AQ10" s="11"/>
      <c r="AR10" s="968"/>
      <c r="AS10" s="1073"/>
      <c r="AT10" s="1073"/>
      <c r="AU10" s="761" t="s">
        <v>36</v>
      </c>
      <c r="AV10" s="768" t="s">
        <v>37</v>
      </c>
      <c r="AW10" s="523"/>
      <c r="AX10" s="523"/>
      <c r="AY10" s="523"/>
      <c r="AZ10" s="523"/>
      <c r="BA10" s="523"/>
      <c r="BB10" s="523"/>
      <c r="BC10" s="523"/>
      <c r="BD10" s="523"/>
      <c r="BE10" s="523"/>
      <c r="BF10" s="523"/>
      <c r="BG10" s="523"/>
      <c r="BH10" s="523"/>
      <c r="BI10" s="524"/>
    </row>
    <row r="11" spans="1:82" ht="20.25" customHeight="1">
      <c r="A11" s="6"/>
      <c r="B11" s="7" t="s">
        <v>553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D11" s="871">
        <f>+AK11</f>
        <v>1</v>
      </c>
      <c r="AE11" s="871"/>
      <c r="AF11" s="872">
        <v>4</v>
      </c>
      <c r="AG11" s="873"/>
      <c r="AI11" s="550">
        <v>0</v>
      </c>
      <c r="AJ11" s="538" t="s">
        <v>35</v>
      </c>
      <c r="AK11" s="548">
        <v>1</v>
      </c>
      <c r="AL11" s="681">
        <f t="shared" ref="AL11:AL15" si="0">AK11-AI11</f>
        <v>1</v>
      </c>
      <c r="AM11" s="867">
        <f>+IF(AF11&gt;50,1400*AF11,IF(OR(AO11="GW",AO11="GP",AO11="GM",AO11="GC"),1200*(AF11+6),IF(AND(OR(AO11="SC",AO11="SW",AO11="SP",AO11="SM"),AF11&gt;15),1300*AF11,500*(AF11+15))))</f>
        <v>9500</v>
      </c>
      <c r="AN11" s="868"/>
      <c r="AO11" s="740" t="s">
        <v>885</v>
      </c>
      <c r="AP11" s="762" t="s">
        <v>406</v>
      </c>
      <c r="AQ11" s="11"/>
      <c r="AR11" s="28">
        <f>SUM(AL11)/2</f>
        <v>0.5</v>
      </c>
      <c r="AS11" s="1073"/>
      <c r="AT11" s="1073"/>
      <c r="AU11" s="1059" t="s">
        <v>40</v>
      </c>
      <c r="AV11" s="1060"/>
      <c r="AW11" s="1060"/>
      <c r="AX11" s="1060"/>
      <c r="AY11" s="1061"/>
      <c r="AZ11" s="1059" t="s">
        <v>41</v>
      </c>
      <c r="BA11" s="1060"/>
      <c r="BB11" s="1060"/>
      <c r="BC11" s="1060"/>
      <c r="BD11" s="1061"/>
      <c r="BE11" s="1059" t="s">
        <v>42</v>
      </c>
      <c r="BF11" s="1060"/>
      <c r="BG11" s="1060"/>
      <c r="BH11" s="1060"/>
      <c r="BI11" s="1061"/>
    </row>
    <row r="12" spans="1:82" ht="20.25" customHeight="1">
      <c r="A12" s="6"/>
      <c r="B12" s="1141" t="s">
        <v>48</v>
      </c>
      <c r="C12" s="1142"/>
      <c r="D12" s="787" t="s">
        <v>290</v>
      </c>
      <c r="E12" s="787"/>
      <c r="F12" s="787"/>
      <c r="G12" s="787"/>
      <c r="H12" s="1165" t="s">
        <v>49</v>
      </c>
      <c r="I12" s="1165"/>
      <c r="J12" s="1165"/>
      <c r="K12" s="1166" t="s">
        <v>51</v>
      </c>
      <c r="L12" s="1166"/>
      <c r="M12" s="1166"/>
      <c r="N12" s="1166" t="s">
        <v>52</v>
      </c>
      <c r="O12" s="1166"/>
      <c r="P12" s="1173" t="s">
        <v>54</v>
      </c>
      <c r="Q12" s="1174"/>
      <c r="R12" s="1175"/>
      <c r="S12" s="1169" t="s">
        <v>582</v>
      </c>
      <c r="T12" s="1170"/>
      <c r="U12" s="1093" t="s">
        <v>55</v>
      </c>
      <c r="V12" s="1093"/>
      <c r="W12" s="1093"/>
      <c r="X12" s="1094" t="s">
        <v>56</v>
      </c>
      <c r="Y12" s="1094"/>
      <c r="Z12" s="1095"/>
      <c r="AA12" s="9"/>
      <c r="AC12" s="1168" t="s">
        <v>538</v>
      </c>
      <c r="AD12" s="871">
        <f t="shared" ref="AD12:AD37" si="1">+AK12</f>
        <v>2</v>
      </c>
      <c r="AE12" s="871"/>
      <c r="AF12" s="872">
        <v>5</v>
      </c>
      <c r="AG12" s="873"/>
      <c r="AI12" s="504">
        <f>+AK11</f>
        <v>1</v>
      </c>
      <c r="AJ12" s="503" t="s">
        <v>35</v>
      </c>
      <c r="AK12" s="549">
        <v>2</v>
      </c>
      <c r="AL12" s="678">
        <f t="shared" si="0"/>
        <v>1</v>
      </c>
      <c r="AM12" s="867">
        <f t="shared" ref="AM12:AM37" si="2">+IF(AF12&gt;50,1400*AF12,IF(OR(AO12="GW",AO12="GP",AO12="GM",AO12="GC"),1200*(AF12+6),IF(AND(OR(AO12="SC",AO12="SW",AO12="SP",AO12="SM"),AF12&gt;15),1300*AF12,500*(AF12+15))))</f>
        <v>10000</v>
      </c>
      <c r="AN12" s="868"/>
      <c r="AO12" s="740" t="s">
        <v>885</v>
      </c>
      <c r="AP12" s="762"/>
      <c r="AQ12" s="11"/>
      <c r="AR12" s="28">
        <f>SUM(AL11)+(AL12/2)</f>
        <v>1.5</v>
      </c>
      <c r="AS12" s="1073"/>
      <c r="AT12" s="1073"/>
      <c r="AU12" s="1149" t="s">
        <v>46</v>
      </c>
      <c r="AV12" s="1150"/>
      <c r="AW12" s="1150"/>
      <c r="AX12" s="1150"/>
      <c r="AY12" s="1151"/>
      <c r="AZ12" s="1158" t="s">
        <v>47</v>
      </c>
      <c r="BA12" s="1159"/>
      <c r="BB12" s="1159"/>
      <c r="BC12" s="1159"/>
      <c r="BD12" s="1160"/>
      <c r="BE12" s="1122"/>
      <c r="BF12" s="1123"/>
      <c r="BG12" s="1123"/>
      <c r="BH12" s="1123"/>
      <c r="BI12" s="1124"/>
      <c r="BK12" s="525"/>
    </row>
    <row r="13" spans="1:82" ht="23.25" customHeight="1">
      <c r="A13" s="6"/>
      <c r="B13" s="1143"/>
      <c r="C13" s="1144"/>
      <c r="D13" s="1145"/>
      <c r="E13" s="1145"/>
      <c r="F13" s="1145"/>
      <c r="G13" s="1145"/>
      <c r="H13" s="1164" t="s">
        <v>14</v>
      </c>
      <c r="I13" s="1164"/>
      <c r="J13" s="1164"/>
      <c r="K13" s="1146" t="s">
        <v>584</v>
      </c>
      <c r="L13" s="1147"/>
      <c r="M13" s="1147"/>
      <c r="N13" s="1148" t="s">
        <v>585</v>
      </c>
      <c r="O13" s="1148"/>
      <c r="P13" s="1176" t="s">
        <v>824</v>
      </c>
      <c r="Q13" s="1177"/>
      <c r="R13" s="1178"/>
      <c r="S13" s="1171" t="s">
        <v>583</v>
      </c>
      <c r="T13" s="1172"/>
      <c r="U13" s="1167" t="s">
        <v>586</v>
      </c>
      <c r="V13" s="1167"/>
      <c r="W13" s="1167"/>
      <c r="X13" s="1096"/>
      <c r="Y13" s="1096"/>
      <c r="Z13" s="1097"/>
      <c r="AA13" s="9"/>
      <c r="AC13" s="1168"/>
      <c r="AD13" s="871">
        <f t="shared" si="1"/>
        <v>3</v>
      </c>
      <c r="AE13" s="871"/>
      <c r="AF13" s="872">
        <v>5</v>
      </c>
      <c r="AG13" s="873"/>
      <c r="AI13" s="504">
        <f t="shared" ref="AI13:AI14" si="3">+AK12</f>
        <v>2</v>
      </c>
      <c r="AJ13" s="503" t="s">
        <v>35</v>
      </c>
      <c r="AK13" s="549">
        <v>3</v>
      </c>
      <c r="AL13" s="678">
        <f t="shared" si="0"/>
        <v>1</v>
      </c>
      <c r="AM13" s="867">
        <f t="shared" si="2"/>
        <v>10000</v>
      </c>
      <c r="AN13" s="868"/>
      <c r="AO13" s="740" t="s">
        <v>885</v>
      </c>
      <c r="AP13" s="762"/>
      <c r="AQ13" s="11"/>
      <c r="AR13" s="28">
        <f>SUM(AL$11:$AL12)+(AL13/2)</f>
        <v>2.5</v>
      </c>
      <c r="AS13" s="1073"/>
      <c r="AT13" s="1073"/>
      <c r="AU13" s="1152"/>
      <c r="AV13" s="1153"/>
      <c r="AW13" s="1153"/>
      <c r="AX13" s="1153"/>
      <c r="AY13" s="1154"/>
      <c r="AZ13" s="1070" t="s">
        <v>59</v>
      </c>
      <c r="BA13" s="1071"/>
      <c r="BB13" s="1071"/>
      <c r="BC13" s="1071"/>
      <c r="BD13" s="1072"/>
      <c r="BE13" s="1062" t="s">
        <v>60</v>
      </c>
      <c r="BF13" s="1063"/>
      <c r="BG13" s="1063"/>
      <c r="BH13" s="1063"/>
      <c r="BI13" s="1064"/>
      <c r="BK13" s="525"/>
    </row>
    <row r="14" spans="1:82" ht="23.25" customHeight="1">
      <c r="A14" s="6"/>
      <c r="B14" s="946" t="str">
        <f>+입력!A20</f>
        <v>매립층</v>
      </c>
      <c r="C14" s="947"/>
      <c r="D14" s="950">
        <v>0</v>
      </c>
      <c r="E14" s="951"/>
      <c r="F14" s="952">
        <f>+입력!C20</f>
        <v>3.5</v>
      </c>
      <c r="G14" s="953"/>
      <c r="H14" s="942">
        <f>F14-D14</f>
        <v>3.5</v>
      </c>
      <c r="I14" s="943"/>
      <c r="J14" s="944"/>
      <c r="K14" s="945">
        <f>+입력!D20</f>
        <v>18</v>
      </c>
      <c r="L14" s="946"/>
      <c r="M14" s="947"/>
      <c r="N14" s="948">
        <v>0</v>
      </c>
      <c r="O14" s="949"/>
      <c r="P14" s="948">
        <v>21</v>
      </c>
      <c r="Q14" s="1179"/>
      <c r="R14" s="949"/>
      <c r="S14" s="1088">
        <v>0.4</v>
      </c>
      <c r="T14" s="1089"/>
      <c r="U14" s="1077">
        <f>+AM11</f>
        <v>9500</v>
      </c>
      <c r="V14" s="1078"/>
      <c r="W14" s="1079"/>
      <c r="X14" s="1080" t="str">
        <f>+입력!E20</f>
        <v>실트질 모래</v>
      </c>
      <c r="Y14" s="1081"/>
      <c r="Z14" s="1081"/>
      <c r="AA14" s="9"/>
      <c r="AC14" s="566" t="str">
        <f>+입력!F20</f>
        <v>SM</v>
      </c>
      <c r="AD14" s="871">
        <f t="shared" si="1"/>
        <v>4</v>
      </c>
      <c r="AE14" s="871"/>
      <c r="AF14" s="872">
        <v>4</v>
      </c>
      <c r="AG14" s="873"/>
      <c r="AH14" s="5"/>
      <c r="AI14" s="504">
        <f t="shared" si="3"/>
        <v>3</v>
      </c>
      <c r="AJ14" s="503" t="s">
        <v>35</v>
      </c>
      <c r="AK14" s="548">
        <v>4</v>
      </c>
      <c r="AL14" s="678">
        <f t="shared" si="0"/>
        <v>1</v>
      </c>
      <c r="AM14" s="867">
        <f t="shared" si="2"/>
        <v>9500</v>
      </c>
      <c r="AN14" s="868"/>
      <c r="AO14" s="740" t="s">
        <v>885</v>
      </c>
      <c r="AP14" s="762"/>
      <c r="AQ14" s="11"/>
      <c r="AR14" s="28">
        <f>SUM(AL$11:$AL13)+(AL14/2)</f>
        <v>3.5</v>
      </c>
      <c r="AS14" s="1073"/>
      <c r="AT14" s="1073"/>
      <c r="AU14" s="1152"/>
      <c r="AV14" s="1153"/>
      <c r="AW14" s="1153"/>
      <c r="AX14" s="1153"/>
      <c r="AY14" s="1154"/>
      <c r="AZ14" s="1070" t="s">
        <v>62</v>
      </c>
      <c r="BA14" s="1071"/>
      <c r="BB14" s="1071"/>
      <c r="BC14" s="1071"/>
      <c r="BD14" s="1072"/>
      <c r="BE14" s="1062" t="s">
        <v>63</v>
      </c>
      <c r="BF14" s="1063"/>
      <c r="BG14" s="1063"/>
      <c r="BH14" s="1063"/>
      <c r="BI14" s="1064"/>
      <c r="BK14" s="525"/>
    </row>
    <row r="15" spans="1:82" ht="23.25" customHeight="1">
      <c r="A15" s="6"/>
      <c r="B15" s="946" t="str">
        <f>+입력!A21</f>
        <v>퇴적층</v>
      </c>
      <c r="C15" s="947"/>
      <c r="D15" s="950">
        <f>+F14</f>
        <v>3.5</v>
      </c>
      <c r="E15" s="951"/>
      <c r="F15" s="952">
        <f>+입력!C21</f>
        <v>6.7</v>
      </c>
      <c r="G15" s="953"/>
      <c r="H15" s="942">
        <f>F15-D15</f>
        <v>3.2</v>
      </c>
      <c r="I15" s="943"/>
      <c r="J15" s="944"/>
      <c r="K15" s="945">
        <f>+입력!D21</f>
        <v>18</v>
      </c>
      <c r="L15" s="946"/>
      <c r="M15" s="947"/>
      <c r="N15" s="948">
        <v>0</v>
      </c>
      <c r="O15" s="949"/>
      <c r="P15" s="948">
        <v>23</v>
      </c>
      <c r="Q15" s="1179"/>
      <c r="R15" s="949"/>
      <c r="S15" s="1088">
        <v>0.38</v>
      </c>
      <c r="T15" s="1089"/>
      <c r="U15" s="1077">
        <f>+AM13</f>
        <v>10000</v>
      </c>
      <c r="V15" s="1078"/>
      <c r="W15" s="1079"/>
      <c r="X15" s="1080" t="str">
        <f>+입력!E21</f>
        <v>실트질 모래</v>
      </c>
      <c r="Y15" s="1081"/>
      <c r="Z15" s="1081"/>
      <c r="AA15" s="9"/>
      <c r="AC15" s="566" t="str">
        <f>+입력!F21</f>
        <v>SM</v>
      </c>
      <c r="AD15" s="871">
        <f t="shared" si="1"/>
        <v>5</v>
      </c>
      <c r="AE15" s="871"/>
      <c r="AF15" s="872">
        <v>3</v>
      </c>
      <c r="AG15" s="873"/>
      <c r="AH15" s="5"/>
      <c r="AI15" s="504">
        <f>+AK14</f>
        <v>4</v>
      </c>
      <c r="AJ15" s="503" t="s">
        <v>35</v>
      </c>
      <c r="AK15" s="549">
        <v>5</v>
      </c>
      <c r="AL15" s="678">
        <f t="shared" si="0"/>
        <v>1</v>
      </c>
      <c r="AM15" s="867">
        <f t="shared" si="2"/>
        <v>9000</v>
      </c>
      <c r="AN15" s="868"/>
      <c r="AO15" s="740" t="s">
        <v>885</v>
      </c>
      <c r="AP15" s="762" t="s">
        <v>407</v>
      </c>
      <c r="AQ15" s="11"/>
      <c r="AR15" s="28">
        <f>SUM(AL$11:$AL14)+(AL15/2)</f>
        <v>4.5</v>
      </c>
      <c r="AS15" s="1073"/>
      <c r="AT15" s="1073"/>
      <c r="AU15" s="1155"/>
      <c r="AV15" s="1156"/>
      <c r="AW15" s="1156"/>
      <c r="AX15" s="1156"/>
      <c r="AY15" s="1157"/>
      <c r="AZ15" s="1161" t="s">
        <v>504</v>
      </c>
      <c r="BA15" s="1162"/>
      <c r="BB15" s="1162"/>
      <c r="BC15" s="1162"/>
      <c r="BD15" s="1163"/>
      <c r="BE15" s="1119"/>
      <c r="BF15" s="1120"/>
      <c r="BG15" s="1120"/>
      <c r="BH15" s="1120"/>
      <c r="BI15" s="1121"/>
      <c r="BK15" s="525"/>
    </row>
    <row r="16" spans="1:82" ht="23.25" customHeight="1">
      <c r="A16" s="6"/>
      <c r="B16" s="946" t="str">
        <f>+입력!A22</f>
        <v>풍화암</v>
      </c>
      <c r="C16" s="947"/>
      <c r="D16" s="950">
        <f t="shared" ref="D16" si="4">+F15</f>
        <v>6.7</v>
      </c>
      <c r="E16" s="951"/>
      <c r="F16" s="952">
        <f>+입력!C22</f>
        <v>15</v>
      </c>
      <c r="G16" s="953"/>
      <c r="H16" s="942">
        <f>F16-D16</f>
        <v>8.3000000000000007</v>
      </c>
      <c r="I16" s="943"/>
      <c r="J16" s="944"/>
      <c r="K16" s="945">
        <f>+입력!D22</f>
        <v>20</v>
      </c>
      <c r="L16" s="946"/>
      <c r="M16" s="947"/>
      <c r="N16" s="948">
        <v>20</v>
      </c>
      <c r="O16" s="949"/>
      <c r="P16" s="948">
        <v>30</v>
      </c>
      <c r="Q16" s="1179"/>
      <c r="R16" s="949"/>
      <c r="S16" s="1088">
        <v>0.3</v>
      </c>
      <c r="T16" s="1089"/>
      <c r="U16" s="1077">
        <f>+AM20</f>
        <v>700000.00000000012</v>
      </c>
      <c r="V16" s="1078"/>
      <c r="W16" s="1079"/>
      <c r="X16" s="1080"/>
      <c r="Y16" s="1081"/>
      <c r="Z16" s="1081"/>
      <c r="AA16" s="9"/>
      <c r="AC16" s="566" t="str">
        <f>+입력!F22</f>
        <v>WR</v>
      </c>
      <c r="AD16" s="871">
        <f t="shared" si="1"/>
        <v>6</v>
      </c>
      <c r="AE16" s="871"/>
      <c r="AF16" s="872">
        <v>11</v>
      </c>
      <c r="AG16" s="873"/>
      <c r="AH16" s="5"/>
      <c r="AI16" s="504">
        <f>+AK15</f>
        <v>5</v>
      </c>
      <c r="AJ16" s="503" t="s">
        <v>35</v>
      </c>
      <c r="AK16" s="549">
        <v>6</v>
      </c>
      <c r="AL16" s="678">
        <f>AK16-AI16</f>
        <v>1</v>
      </c>
      <c r="AM16" s="867">
        <f t="shared" si="2"/>
        <v>13000</v>
      </c>
      <c r="AN16" s="868"/>
      <c r="AO16" s="740" t="s">
        <v>885</v>
      </c>
      <c r="AP16" s="762"/>
      <c r="AQ16" s="11"/>
      <c r="AR16" s="28">
        <f>SUM(AL$11:$AL15)+(AL16/2)</f>
        <v>5.5</v>
      </c>
      <c r="AS16" s="1073"/>
      <c r="AT16" s="1073"/>
      <c r="AU16" s="1059" t="s">
        <v>65</v>
      </c>
      <c r="AV16" s="1060"/>
      <c r="AW16" s="1060"/>
      <c r="AX16" s="1060"/>
      <c r="AY16" s="1061"/>
      <c r="AZ16" s="1090" t="s">
        <v>66</v>
      </c>
      <c r="BA16" s="1091"/>
      <c r="BB16" s="1091"/>
      <c r="BC16" s="1091"/>
      <c r="BD16" s="1092"/>
      <c r="BE16" s="1085" t="s">
        <v>67</v>
      </c>
      <c r="BF16" s="1086"/>
      <c r="BG16" s="1086"/>
      <c r="BH16" s="1086"/>
      <c r="BI16" s="1087"/>
      <c r="BK16" s="525"/>
    </row>
    <row r="17" spans="1:75" ht="23.25" customHeight="1">
      <c r="A17" s="6"/>
      <c r="B17" s="946"/>
      <c r="C17" s="947"/>
      <c r="D17" s="950"/>
      <c r="E17" s="951"/>
      <c r="F17" s="952"/>
      <c r="G17" s="953"/>
      <c r="H17" s="942"/>
      <c r="I17" s="943"/>
      <c r="J17" s="944"/>
      <c r="K17" s="945"/>
      <c r="L17" s="946"/>
      <c r="M17" s="947"/>
      <c r="N17" s="948"/>
      <c r="O17" s="949"/>
      <c r="P17" s="948"/>
      <c r="Q17" s="1179"/>
      <c r="R17" s="949"/>
      <c r="S17" s="1088"/>
      <c r="T17" s="1089"/>
      <c r="U17" s="1077"/>
      <c r="V17" s="1078"/>
      <c r="W17" s="1079"/>
      <c r="X17" s="1080"/>
      <c r="Y17" s="1081"/>
      <c r="Z17" s="1081"/>
      <c r="AA17" s="9"/>
      <c r="AB17" s="9"/>
      <c r="AC17" s="566">
        <f>+입력!F23</f>
        <v>0</v>
      </c>
      <c r="AD17" s="871">
        <f t="shared" si="1"/>
        <v>7</v>
      </c>
      <c r="AE17" s="871"/>
      <c r="AF17" s="872">
        <v>214</v>
      </c>
      <c r="AG17" s="873"/>
      <c r="AH17" s="5"/>
      <c r="AI17" s="504">
        <f>AK16</f>
        <v>6</v>
      </c>
      <c r="AJ17" s="503" t="s">
        <v>35</v>
      </c>
      <c r="AK17" s="548">
        <v>7</v>
      </c>
      <c r="AL17" s="678">
        <f>AK17-AI17</f>
        <v>1</v>
      </c>
      <c r="AM17" s="867">
        <f t="shared" si="2"/>
        <v>299600</v>
      </c>
      <c r="AN17" s="868"/>
      <c r="AO17" s="740" t="s">
        <v>885</v>
      </c>
      <c r="AP17" s="762"/>
      <c r="AQ17" s="11"/>
      <c r="AR17" s="28">
        <f>SUM(AL$11:$AL16)+(AL17/2)</f>
        <v>6.5</v>
      </c>
      <c r="AS17" s="1073"/>
      <c r="AT17" s="1073"/>
      <c r="AU17" s="1149" t="s">
        <v>68</v>
      </c>
      <c r="AV17" s="1150"/>
      <c r="AW17" s="1150"/>
      <c r="AX17" s="1150"/>
      <c r="AY17" s="1151"/>
      <c r="AZ17" s="1090" t="s">
        <v>69</v>
      </c>
      <c r="BA17" s="1091"/>
      <c r="BB17" s="1091"/>
      <c r="BC17" s="1091"/>
      <c r="BD17" s="1092"/>
      <c r="BE17" s="522" t="s">
        <v>70</v>
      </c>
      <c r="BF17" s="523"/>
      <c r="BG17" s="523"/>
      <c r="BH17" s="523"/>
      <c r="BI17" s="524"/>
      <c r="BK17" s="525"/>
    </row>
    <row r="18" spans="1:75" ht="23.25" customHeight="1">
      <c r="A18" s="6"/>
      <c r="B18" s="946"/>
      <c r="C18" s="947"/>
      <c r="D18" s="950"/>
      <c r="E18" s="951"/>
      <c r="F18" s="952"/>
      <c r="G18" s="953"/>
      <c r="H18" s="942"/>
      <c r="I18" s="943"/>
      <c r="J18" s="944"/>
      <c r="K18" s="945"/>
      <c r="L18" s="946"/>
      <c r="M18" s="947"/>
      <c r="N18" s="948"/>
      <c r="O18" s="949"/>
      <c r="P18" s="948"/>
      <c r="Q18" s="1179"/>
      <c r="R18" s="949"/>
      <c r="S18" s="1088"/>
      <c r="T18" s="1089"/>
      <c r="U18" s="1077"/>
      <c r="V18" s="1078"/>
      <c r="W18" s="1079"/>
      <c r="X18" s="1080"/>
      <c r="Y18" s="1081"/>
      <c r="Z18" s="1081"/>
      <c r="AA18" s="9"/>
      <c r="AB18" s="9"/>
      <c r="AC18" s="566">
        <f>+입력!F24</f>
        <v>0</v>
      </c>
      <c r="AD18" s="871">
        <f t="shared" si="1"/>
        <v>8</v>
      </c>
      <c r="AE18" s="871"/>
      <c r="AF18" s="872">
        <f>50/4*30</f>
        <v>375</v>
      </c>
      <c r="AG18" s="873"/>
      <c r="AH18" s="5"/>
      <c r="AI18" s="504">
        <f>AK17</f>
        <v>7</v>
      </c>
      <c r="AJ18" s="503" t="s">
        <v>35</v>
      </c>
      <c r="AK18" s="549">
        <v>8</v>
      </c>
      <c r="AL18" s="678">
        <f>AK18-AI18</f>
        <v>1</v>
      </c>
      <c r="AM18" s="867">
        <f t="shared" si="2"/>
        <v>525000</v>
      </c>
      <c r="AN18" s="868"/>
      <c r="AO18" s="740" t="s">
        <v>615</v>
      </c>
      <c r="AP18" s="762" t="s">
        <v>74</v>
      </c>
      <c r="AQ18" s="11"/>
      <c r="AR18" s="28">
        <f>SUM(AL$11:$AL17)+(AL18/2)</f>
        <v>7.5</v>
      </c>
      <c r="AS18" s="1073"/>
      <c r="AT18" s="1073"/>
      <c r="AU18" s="1152"/>
      <c r="AV18" s="1153"/>
      <c r="AW18" s="1153"/>
      <c r="AX18" s="1153"/>
      <c r="AY18" s="1154"/>
      <c r="AZ18" s="1090" t="s">
        <v>505</v>
      </c>
      <c r="BA18" s="1091"/>
      <c r="BB18" s="1091"/>
      <c r="BC18" s="1091"/>
      <c r="BD18" s="1092"/>
      <c r="BE18" s="1074"/>
      <c r="BF18" s="1075"/>
      <c r="BG18" s="1075"/>
      <c r="BH18" s="1075"/>
      <c r="BI18" s="1076"/>
      <c r="BK18" s="525"/>
    </row>
    <row r="19" spans="1:75" ht="18" customHeight="1">
      <c r="A19" s="6"/>
      <c r="B19" s="1183" t="s">
        <v>77</v>
      </c>
      <c r="C19" s="858"/>
      <c r="D19" s="858"/>
      <c r="E19" s="858"/>
      <c r="F19" s="858"/>
      <c r="G19" s="858"/>
      <c r="H19" s="1184">
        <f>SUM(H14:J18)</f>
        <v>15</v>
      </c>
      <c r="I19" s="1184"/>
      <c r="J19" s="1184"/>
      <c r="K19" s="1185"/>
      <c r="L19" s="1185"/>
      <c r="M19" s="1185"/>
      <c r="N19" s="1186"/>
      <c r="O19" s="1186"/>
      <c r="P19" s="1180"/>
      <c r="Q19" s="1181"/>
      <c r="R19" s="1182"/>
      <c r="S19" s="1187"/>
      <c r="T19" s="1187"/>
      <c r="U19" s="955"/>
      <c r="V19" s="955"/>
      <c r="W19" s="955"/>
      <c r="X19" s="955"/>
      <c r="Y19" s="955"/>
      <c r="Z19" s="956"/>
      <c r="AA19" s="9"/>
      <c r="AB19" s="9"/>
      <c r="AC19" s="2"/>
      <c r="AD19" s="871">
        <f t="shared" si="1"/>
        <v>9</v>
      </c>
      <c r="AE19" s="871"/>
      <c r="AF19" s="872">
        <f>50/3*30</f>
        <v>500.00000000000006</v>
      </c>
      <c r="AG19" s="873"/>
      <c r="AH19" s="5"/>
      <c r="AI19" s="504">
        <f>AK18</f>
        <v>8</v>
      </c>
      <c r="AJ19" s="503" t="s">
        <v>35</v>
      </c>
      <c r="AK19" s="549">
        <v>9</v>
      </c>
      <c r="AL19" s="678">
        <f>AK19-AI19</f>
        <v>1</v>
      </c>
      <c r="AM19" s="867">
        <f t="shared" si="2"/>
        <v>700000.00000000012</v>
      </c>
      <c r="AN19" s="868"/>
      <c r="AO19" s="740"/>
      <c r="AP19" s="762"/>
      <c r="AQ19" s="11"/>
      <c r="AR19" s="28">
        <f>SUM(AL$11:$AL18)+(AL19/2)</f>
        <v>8.5</v>
      </c>
      <c r="AS19" s="1073"/>
      <c r="AT19" s="1073"/>
      <c r="AU19" s="1155"/>
      <c r="AV19" s="1156"/>
      <c r="AW19" s="1156"/>
      <c r="AX19" s="1156"/>
      <c r="AY19" s="1157"/>
      <c r="AZ19" s="1090" t="s">
        <v>506</v>
      </c>
      <c r="BA19" s="1091"/>
      <c r="BB19" s="1091"/>
      <c r="BC19" s="1091"/>
      <c r="BD19" s="1092"/>
      <c r="BE19" s="1074"/>
      <c r="BF19" s="1075"/>
      <c r="BG19" s="1075"/>
      <c r="BH19" s="1075"/>
      <c r="BI19" s="1076"/>
      <c r="BK19" s="525"/>
    </row>
    <row r="20" spans="1:75" ht="17.25" customHeight="1">
      <c r="A20" s="6"/>
      <c r="B20" s="46"/>
      <c r="C20" s="46"/>
      <c r="D20" s="47"/>
      <c r="E20" s="47"/>
      <c r="F20" s="46"/>
      <c r="G20" s="47"/>
      <c r="H20" s="47"/>
      <c r="I20" s="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50"/>
      <c r="Z20" s="50"/>
      <c r="AA20" s="51"/>
      <c r="AD20" s="871">
        <f t="shared" si="1"/>
        <v>10</v>
      </c>
      <c r="AE20" s="871"/>
      <c r="AF20" s="872">
        <f>50/3*30</f>
        <v>500.00000000000006</v>
      </c>
      <c r="AG20" s="873"/>
      <c r="AH20" s="5"/>
      <c r="AI20" s="504">
        <f>AK19</f>
        <v>9</v>
      </c>
      <c r="AJ20" s="503" t="s">
        <v>35</v>
      </c>
      <c r="AK20" s="548">
        <v>10</v>
      </c>
      <c r="AL20" s="678">
        <f>AK20-AI20</f>
        <v>1</v>
      </c>
      <c r="AM20" s="867">
        <f t="shared" si="2"/>
        <v>700000.00000000012</v>
      </c>
      <c r="AN20" s="868"/>
      <c r="AO20" s="740"/>
      <c r="AP20" s="762"/>
      <c r="AQ20" s="11"/>
      <c r="AR20" s="28">
        <f>SUM(AL$11:$AL19)+(AL20/2)</f>
        <v>9.5</v>
      </c>
      <c r="AS20" s="1073"/>
      <c r="AT20" s="1073"/>
      <c r="AU20" s="1194" t="s">
        <v>507</v>
      </c>
      <c r="AV20" s="1195"/>
      <c r="AW20" s="1195"/>
      <c r="AX20" s="1195"/>
      <c r="AY20" s="1196"/>
      <c r="AZ20" s="1074" t="s">
        <v>508</v>
      </c>
      <c r="BA20" s="1075"/>
      <c r="BB20" s="1075"/>
      <c r="BC20" s="1075"/>
      <c r="BD20" s="1076"/>
      <c r="BE20" s="1074"/>
      <c r="BF20" s="1075"/>
      <c r="BG20" s="1075"/>
      <c r="BH20" s="1075"/>
      <c r="BI20" s="1076"/>
      <c r="BK20" s="525"/>
    </row>
    <row r="21" spans="1:75" ht="17.25" customHeight="1">
      <c r="A21" s="6"/>
      <c r="B21" s="55"/>
      <c r="C21" s="46"/>
      <c r="D21" s="47"/>
      <c r="E21" s="47"/>
      <c r="F21" s="46"/>
      <c r="G21" s="47"/>
      <c r="H21" s="47"/>
      <c r="I21" s="8"/>
      <c r="J21" s="46"/>
      <c r="K21" s="55"/>
      <c r="L21" s="46"/>
      <c r="M21" s="46"/>
      <c r="N21" s="9"/>
      <c r="O21" s="9"/>
      <c r="P21" s="9"/>
      <c r="Q21" s="9"/>
      <c r="R21" s="9"/>
      <c r="S21" s="9"/>
      <c r="T21" s="9"/>
      <c r="U21" s="9"/>
      <c r="V21" s="9"/>
      <c r="W21" s="9"/>
      <c r="X21" s="58"/>
      <c r="Y21" s="544"/>
      <c r="Z21" s="544"/>
      <c r="AA21" s="544"/>
      <c r="AB21" s="46"/>
      <c r="AC21" s="2"/>
      <c r="AD21" s="871">
        <f t="shared" si="1"/>
        <v>11</v>
      </c>
      <c r="AE21" s="871"/>
      <c r="AF21" s="872">
        <f>50/2*30</f>
        <v>750</v>
      </c>
      <c r="AG21" s="873"/>
      <c r="AH21" s="5"/>
      <c r="AI21" s="504">
        <f t="shared" ref="AI21:AI37" si="5">AK20</f>
        <v>10</v>
      </c>
      <c r="AJ21" s="503" t="s">
        <v>35</v>
      </c>
      <c r="AK21" s="549">
        <v>11</v>
      </c>
      <c r="AL21" s="678">
        <f t="shared" ref="AL21:AL37" si="6">AK21-AI21</f>
        <v>1</v>
      </c>
      <c r="AM21" s="867">
        <f t="shared" si="2"/>
        <v>1050000</v>
      </c>
      <c r="AN21" s="868"/>
      <c r="AO21" s="740"/>
      <c r="AP21" s="762"/>
      <c r="AQ21" s="11"/>
      <c r="AR21" s="28">
        <f>SUM(AL$11:$AL20)+(AL21/2)</f>
        <v>10.5</v>
      </c>
      <c r="AS21" s="1073"/>
      <c r="AT21" s="1073"/>
      <c r="AU21" s="1149" t="s">
        <v>72</v>
      </c>
      <c r="AV21" s="1150"/>
      <c r="AW21" s="1150"/>
      <c r="AX21" s="1150"/>
      <c r="AY21" s="1151"/>
      <c r="AZ21" s="1074" t="s">
        <v>73</v>
      </c>
      <c r="BA21" s="1075"/>
      <c r="BB21" s="1075"/>
      <c r="BC21" s="1075"/>
      <c r="BD21" s="1076"/>
      <c r="BE21" s="1074"/>
      <c r="BF21" s="1075"/>
      <c r="BG21" s="1075"/>
      <c r="BH21" s="1075"/>
      <c r="BI21" s="1076"/>
      <c r="BK21" s="525"/>
    </row>
    <row r="22" spans="1:75" ht="16.5" customHeight="1">
      <c r="A22" s="6"/>
      <c r="B22" s="55"/>
      <c r="C22" s="46"/>
      <c r="D22" s="47"/>
      <c r="E22" s="47"/>
      <c r="F22" s="46"/>
      <c r="G22" s="47"/>
      <c r="H22" s="47"/>
      <c r="I22" s="8"/>
      <c r="J22" s="46"/>
      <c r="K22" s="59"/>
      <c r="L22" s="60"/>
      <c r="M22" s="60"/>
      <c r="N22" s="61"/>
      <c r="O22" s="61"/>
      <c r="P22" s="61"/>
      <c r="Q22" s="9"/>
      <c r="R22" s="9"/>
      <c r="S22" s="9"/>
      <c r="T22" s="9"/>
      <c r="U22" s="9"/>
      <c r="V22" s="9"/>
      <c r="W22" s="9"/>
      <c r="X22" s="58"/>
      <c r="Y22" s="954"/>
      <c r="Z22" s="954"/>
      <c r="AA22" s="544"/>
      <c r="AB22" s="46"/>
      <c r="AC22" s="9"/>
      <c r="AD22" s="871">
        <f t="shared" si="1"/>
        <v>12</v>
      </c>
      <c r="AE22" s="871"/>
      <c r="AF22" s="872">
        <f t="shared" ref="AF22:AF37" si="7">50/2*30</f>
        <v>750</v>
      </c>
      <c r="AG22" s="873"/>
      <c r="AH22" s="5"/>
      <c r="AI22" s="504">
        <f t="shared" si="5"/>
        <v>11</v>
      </c>
      <c r="AJ22" s="503" t="s">
        <v>35</v>
      </c>
      <c r="AK22" s="549">
        <v>12</v>
      </c>
      <c r="AL22" s="678">
        <f t="shared" si="6"/>
        <v>1</v>
      </c>
      <c r="AM22" s="867">
        <f t="shared" si="2"/>
        <v>1050000</v>
      </c>
      <c r="AN22" s="868"/>
      <c r="AO22" s="740"/>
      <c r="AP22" s="762"/>
      <c r="AQ22" s="11"/>
      <c r="AR22" s="28">
        <f>SUM(AL$11:$AL21)+(AL22/2)</f>
        <v>11.5</v>
      </c>
      <c r="AS22" s="1073"/>
      <c r="AT22" s="1073"/>
      <c r="AU22" s="1152"/>
      <c r="AV22" s="1153"/>
      <c r="AW22" s="1153"/>
      <c r="AX22" s="1153"/>
      <c r="AY22" s="1154"/>
      <c r="AZ22" s="1074" t="s">
        <v>509</v>
      </c>
      <c r="BA22" s="1075"/>
      <c r="BB22" s="1075"/>
      <c r="BC22" s="1075"/>
      <c r="BD22" s="1076"/>
      <c r="BE22" s="1074"/>
      <c r="BF22" s="1075"/>
      <c r="BG22" s="1075"/>
      <c r="BH22" s="1075"/>
      <c r="BI22" s="1076"/>
      <c r="BK22" s="525"/>
    </row>
    <row r="23" spans="1:75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D23" s="871">
        <f t="shared" si="1"/>
        <v>13</v>
      </c>
      <c r="AE23" s="871"/>
      <c r="AF23" s="872">
        <f t="shared" si="7"/>
        <v>750</v>
      </c>
      <c r="AG23" s="873"/>
      <c r="AH23" s="5"/>
      <c r="AI23" s="504">
        <f t="shared" si="5"/>
        <v>12</v>
      </c>
      <c r="AJ23" s="503" t="s">
        <v>35</v>
      </c>
      <c r="AK23" s="548">
        <v>13</v>
      </c>
      <c r="AL23" s="678">
        <f t="shared" si="6"/>
        <v>1</v>
      </c>
      <c r="AM23" s="867">
        <f t="shared" si="2"/>
        <v>1050000</v>
      </c>
      <c r="AN23" s="868"/>
      <c r="AO23" s="740"/>
      <c r="AP23" s="762"/>
      <c r="AR23" s="28">
        <f>SUM(AL$11:$AL22)+(AL23/2)</f>
        <v>12.5</v>
      </c>
      <c r="AS23" s="1073"/>
      <c r="AT23" s="1073"/>
      <c r="AU23" s="1155"/>
      <c r="AV23" s="1156"/>
      <c r="AW23" s="1156"/>
      <c r="AX23" s="1156"/>
      <c r="AY23" s="1157"/>
      <c r="AZ23" s="1074" t="s">
        <v>510</v>
      </c>
      <c r="BA23" s="1075"/>
      <c r="BB23" s="1075"/>
      <c r="BC23" s="1075"/>
      <c r="BD23" s="1076"/>
      <c r="BE23" s="1074"/>
      <c r="BF23" s="1075"/>
      <c r="BG23" s="1075"/>
      <c r="BH23" s="1075"/>
      <c r="BI23" s="1076"/>
      <c r="BK23" s="525"/>
    </row>
    <row r="24" spans="1:75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D24" s="871">
        <f t="shared" si="1"/>
        <v>14</v>
      </c>
      <c r="AE24" s="871"/>
      <c r="AF24" s="872">
        <f t="shared" si="7"/>
        <v>750</v>
      </c>
      <c r="AG24" s="873"/>
      <c r="AH24" s="5"/>
      <c r="AI24" s="504">
        <f t="shared" si="5"/>
        <v>13</v>
      </c>
      <c r="AJ24" s="503" t="s">
        <v>35</v>
      </c>
      <c r="AK24" s="549">
        <v>14</v>
      </c>
      <c r="AL24" s="678">
        <f t="shared" si="6"/>
        <v>1</v>
      </c>
      <c r="AM24" s="867">
        <f t="shared" si="2"/>
        <v>1050000</v>
      </c>
      <c r="AN24" s="868"/>
      <c r="AO24" s="740"/>
      <c r="AP24" s="762"/>
      <c r="AR24" s="28">
        <f>SUM(AL$11:$AL23)+(AL24/2)</f>
        <v>13.5</v>
      </c>
      <c r="AS24" s="1073"/>
      <c r="AT24" s="1073"/>
      <c r="AU24" s="1059" t="s">
        <v>75</v>
      </c>
      <c r="AV24" s="1060"/>
      <c r="AW24" s="1060"/>
      <c r="AX24" s="1060"/>
      <c r="AY24" s="1061"/>
      <c r="AZ24" s="1074" t="s">
        <v>511</v>
      </c>
      <c r="BA24" s="1075"/>
      <c r="BB24" s="1075"/>
      <c r="BC24" s="1075"/>
      <c r="BD24" s="1076"/>
      <c r="BE24" s="1074" t="s">
        <v>76</v>
      </c>
      <c r="BF24" s="1075"/>
      <c r="BG24" s="1075"/>
      <c r="BH24" s="1075"/>
      <c r="BI24" s="1076"/>
      <c r="BK24" s="525"/>
    </row>
    <row r="25" spans="1:75" ht="17.2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D25" s="871">
        <f t="shared" si="1"/>
        <v>15</v>
      </c>
      <c r="AE25" s="871"/>
      <c r="AF25" s="872">
        <f t="shared" si="7"/>
        <v>750</v>
      </c>
      <c r="AG25" s="873"/>
      <c r="AH25" s="9"/>
      <c r="AI25" s="504">
        <f t="shared" si="5"/>
        <v>14</v>
      </c>
      <c r="AJ25" s="503" t="s">
        <v>35</v>
      </c>
      <c r="AK25" s="549">
        <v>15</v>
      </c>
      <c r="AL25" s="678">
        <f t="shared" si="6"/>
        <v>1</v>
      </c>
      <c r="AM25" s="867">
        <f t="shared" si="2"/>
        <v>1050000</v>
      </c>
      <c r="AN25" s="868"/>
      <c r="AO25" s="740"/>
      <c r="AP25" s="762"/>
      <c r="AR25" s="28">
        <f>SUM(AL$11:$AL24)+(AL25/2)</f>
        <v>14.5</v>
      </c>
      <c r="AS25" s="1073"/>
      <c r="AT25" s="1073"/>
      <c r="AU25" s="1149" t="s">
        <v>78</v>
      </c>
      <c r="AV25" s="1150"/>
      <c r="AW25" s="1150"/>
      <c r="AX25" s="1150"/>
      <c r="AY25" s="1151"/>
      <c r="AZ25" s="1122" t="s">
        <v>79</v>
      </c>
      <c r="BA25" s="1123"/>
      <c r="BB25" s="1123"/>
      <c r="BC25" s="1123"/>
      <c r="BD25" s="1124"/>
      <c r="BE25" s="1122" t="s">
        <v>80</v>
      </c>
      <c r="BF25" s="1123"/>
      <c r="BG25" s="1123"/>
      <c r="BH25" s="1123"/>
      <c r="BI25" s="1124"/>
      <c r="BK25" s="525"/>
    </row>
    <row r="26" spans="1:75" ht="17.2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D26" s="871">
        <f t="shared" si="1"/>
        <v>16</v>
      </c>
      <c r="AE26" s="871"/>
      <c r="AF26" s="872">
        <f t="shared" si="7"/>
        <v>750</v>
      </c>
      <c r="AG26" s="873"/>
      <c r="AH26" s="5"/>
      <c r="AI26" s="504">
        <f t="shared" si="5"/>
        <v>15</v>
      </c>
      <c r="AJ26" s="503" t="s">
        <v>35</v>
      </c>
      <c r="AK26" s="548">
        <v>16</v>
      </c>
      <c r="AL26" s="678">
        <f t="shared" si="6"/>
        <v>1</v>
      </c>
      <c r="AM26" s="867">
        <f t="shared" si="2"/>
        <v>1050000</v>
      </c>
      <c r="AN26" s="868"/>
      <c r="AO26" s="740"/>
      <c r="AP26" s="762"/>
      <c r="AR26" s="28">
        <f>SUM(AL$11:$AL25)+(AL26/2)</f>
        <v>15.5</v>
      </c>
      <c r="AS26" s="1073"/>
      <c r="AT26" s="1073"/>
      <c r="AU26" s="1155"/>
      <c r="AV26" s="1156"/>
      <c r="AW26" s="1156"/>
      <c r="AX26" s="1156"/>
      <c r="AY26" s="1157"/>
      <c r="AZ26" s="1192" t="s">
        <v>82</v>
      </c>
      <c r="BA26" s="1191"/>
      <c r="BB26" s="1191"/>
      <c r="BC26" s="1191"/>
      <c r="BD26" s="1193"/>
      <c r="BE26" s="1192" t="s">
        <v>83</v>
      </c>
      <c r="BF26" s="1191"/>
      <c r="BG26" s="1191"/>
      <c r="BH26" s="1191"/>
      <c r="BI26" s="1193"/>
      <c r="BK26" s="525"/>
      <c r="BN26" s="1063"/>
      <c r="BO26" s="1063"/>
      <c r="BP26" s="1063"/>
      <c r="BQ26" s="1063"/>
      <c r="BR26" s="1063"/>
      <c r="BS26" s="1063"/>
      <c r="BT26" s="1063"/>
      <c r="BU26" s="1063"/>
      <c r="BV26" s="1063"/>
      <c r="BW26" s="1063"/>
    </row>
    <row r="27" spans="1:75" ht="28.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D27" s="871">
        <f t="shared" si="1"/>
        <v>17</v>
      </c>
      <c r="AE27" s="871"/>
      <c r="AF27" s="872">
        <f t="shared" si="7"/>
        <v>750</v>
      </c>
      <c r="AG27" s="873"/>
      <c r="AH27" s="5"/>
      <c r="AI27" s="504">
        <f t="shared" si="5"/>
        <v>16</v>
      </c>
      <c r="AJ27" s="503" t="s">
        <v>35</v>
      </c>
      <c r="AK27" s="549">
        <v>17</v>
      </c>
      <c r="AL27" s="678">
        <f t="shared" si="6"/>
        <v>1</v>
      </c>
      <c r="AM27" s="867">
        <f t="shared" si="2"/>
        <v>1050000</v>
      </c>
      <c r="AN27" s="868"/>
      <c r="AO27" s="740"/>
      <c r="AP27" s="762"/>
      <c r="AR27" s="28">
        <f>SUM(AL$11:$AL26)+(AL27/2)</f>
        <v>16.5</v>
      </c>
      <c r="AS27" s="1073"/>
      <c r="AT27" s="1073"/>
      <c r="AU27" s="1059" t="s">
        <v>85</v>
      </c>
      <c r="AV27" s="1060"/>
      <c r="AW27" s="1060"/>
      <c r="AX27" s="1060"/>
      <c r="AY27" s="1061"/>
      <c r="AZ27" s="1199" t="s">
        <v>86</v>
      </c>
      <c r="BA27" s="1200"/>
      <c r="BB27" s="1200"/>
      <c r="BC27" s="1200"/>
      <c r="BD27" s="1201"/>
      <c r="BE27" s="1199" t="s">
        <v>87</v>
      </c>
      <c r="BF27" s="1200"/>
      <c r="BG27" s="1200"/>
      <c r="BH27" s="1200"/>
      <c r="BI27" s="1201"/>
      <c r="BN27" s="1203"/>
      <c r="BO27" s="1203"/>
      <c r="BP27" s="1203"/>
      <c r="BQ27" s="1203"/>
      <c r="BR27" s="1203"/>
      <c r="BS27" s="1063"/>
      <c r="BT27" s="1063"/>
      <c r="BU27" s="1063"/>
      <c r="BV27" s="1063"/>
      <c r="BW27" s="1063"/>
    </row>
    <row r="28" spans="1:75" ht="15.7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D28" s="871">
        <f t="shared" si="1"/>
        <v>18</v>
      </c>
      <c r="AE28" s="871"/>
      <c r="AF28" s="872">
        <f t="shared" si="7"/>
        <v>750</v>
      </c>
      <c r="AG28" s="873"/>
      <c r="AI28" s="504">
        <f t="shared" si="5"/>
        <v>17</v>
      </c>
      <c r="AJ28" s="503" t="s">
        <v>35</v>
      </c>
      <c r="AK28" s="549">
        <v>18</v>
      </c>
      <c r="AL28" s="678">
        <f t="shared" si="6"/>
        <v>1</v>
      </c>
      <c r="AM28" s="867">
        <f t="shared" si="2"/>
        <v>1050000</v>
      </c>
      <c r="AN28" s="868"/>
      <c r="AO28" s="740"/>
      <c r="AP28" s="762"/>
      <c r="AR28" s="28">
        <f>SUM(AL$11:$AL27)+(AL28/2)</f>
        <v>17.5</v>
      </c>
      <c r="AS28" s="1073"/>
      <c r="AT28" s="1073"/>
      <c r="AU28" s="518"/>
      <c r="AV28" s="519"/>
      <c r="AW28" s="519"/>
      <c r="AX28" s="519"/>
      <c r="AY28" s="520"/>
      <c r="AZ28" s="516" t="s">
        <v>92</v>
      </c>
      <c r="BA28" s="517"/>
      <c r="BB28" s="517"/>
      <c r="BC28" s="517"/>
      <c r="BD28" s="521"/>
      <c r="BE28" s="516" t="s">
        <v>93</v>
      </c>
      <c r="BF28" s="517"/>
      <c r="BG28" s="517"/>
      <c r="BH28" s="517"/>
      <c r="BI28" s="521"/>
      <c r="BN28" s="1191"/>
      <c r="BO28" s="1191"/>
      <c r="BP28" s="1191"/>
      <c r="BQ28" s="1191"/>
      <c r="BR28" s="1191"/>
      <c r="BS28" s="1063"/>
      <c r="BT28" s="1063"/>
      <c r="BU28" s="1063"/>
      <c r="BV28" s="1063"/>
      <c r="BW28" s="1063"/>
    </row>
    <row r="29" spans="1:75" ht="15.7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D29" s="871">
        <f t="shared" si="1"/>
        <v>19</v>
      </c>
      <c r="AE29" s="871"/>
      <c r="AF29" s="872">
        <f t="shared" si="7"/>
        <v>750</v>
      </c>
      <c r="AG29" s="873"/>
      <c r="AI29" s="504">
        <f t="shared" si="5"/>
        <v>18</v>
      </c>
      <c r="AJ29" s="503" t="s">
        <v>35</v>
      </c>
      <c r="AK29" s="548">
        <v>19</v>
      </c>
      <c r="AL29" s="678">
        <f t="shared" si="6"/>
        <v>1</v>
      </c>
      <c r="AM29" s="867">
        <f t="shared" si="2"/>
        <v>1050000</v>
      </c>
      <c r="AN29" s="868"/>
      <c r="AO29" s="740"/>
      <c r="AP29" s="762"/>
      <c r="AR29" s="28">
        <f>SUM(AL$11:$AL28)+(AL29/2)</f>
        <v>18.5</v>
      </c>
      <c r="AS29" s="1073"/>
      <c r="AT29" s="1073"/>
      <c r="AU29" s="1153"/>
      <c r="AV29" s="1153"/>
      <c r="AW29" s="1153"/>
      <c r="AX29" s="1153"/>
      <c r="AY29" s="1153"/>
      <c r="AZ29" s="1063"/>
      <c r="BA29" s="1063"/>
      <c r="BB29" s="1063"/>
      <c r="BC29" s="1063"/>
      <c r="BD29" s="1063"/>
      <c r="BE29" s="1063"/>
      <c r="BF29" s="1063"/>
      <c r="BG29" s="1063"/>
      <c r="BH29" s="1063"/>
      <c r="BI29" s="1063"/>
      <c r="BN29" s="1191"/>
      <c r="BO29" s="1191"/>
      <c r="BP29" s="1191"/>
      <c r="BQ29" s="1191"/>
      <c r="BR29" s="1191"/>
      <c r="BS29" s="1063"/>
      <c r="BT29" s="1063"/>
      <c r="BU29" s="1063"/>
      <c r="BV29" s="1063"/>
      <c r="BW29" s="1063"/>
    </row>
    <row r="30" spans="1:75" ht="17.25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D30" s="871">
        <f t="shared" si="1"/>
        <v>20</v>
      </c>
      <c r="AE30" s="871"/>
      <c r="AF30" s="872">
        <f t="shared" si="7"/>
        <v>750</v>
      </c>
      <c r="AG30" s="873"/>
      <c r="AI30" s="504">
        <f t="shared" si="5"/>
        <v>19</v>
      </c>
      <c r="AJ30" s="503" t="s">
        <v>35</v>
      </c>
      <c r="AK30" s="549">
        <v>20</v>
      </c>
      <c r="AL30" s="678">
        <f t="shared" si="6"/>
        <v>1</v>
      </c>
      <c r="AM30" s="867">
        <f t="shared" si="2"/>
        <v>1050000</v>
      </c>
      <c r="AN30" s="868"/>
      <c r="AO30" s="740"/>
      <c r="AP30" s="762"/>
      <c r="AR30" s="28">
        <f>SUM(AL$11:$AL29)+(AL30/2)</f>
        <v>19.5</v>
      </c>
      <c r="AS30" s="1073"/>
      <c r="AT30" s="1073"/>
      <c r="AU30" s="1188"/>
      <c r="AV30" s="1189"/>
      <c r="AX30" s="683"/>
      <c r="AY30" s="684"/>
      <c r="AZ30" s="685"/>
      <c r="BA30" s="1190"/>
      <c r="BB30" s="1190"/>
      <c r="BC30" s="686"/>
      <c r="BD30" s="687"/>
      <c r="BE30" s="688"/>
      <c r="BG30" s="689"/>
      <c r="BH30" s="40"/>
      <c r="BI30" s="1153"/>
      <c r="BJ30" s="1153"/>
      <c r="BK30" s="1153"/>
      <c r="BL30" s="1153"/>
      <c r="BM30" s="1153"/>
      <c r="BN30" s="1191"/>
      <c r="BO30" s="1191"/>
      <c r="BP30" s="1191"/>
      <c r="BQ30" s="1191"/>
      <c r="BR30" s="1191"/>
      <c r="BS30" s="1191"/>
      <c r="BT30" s="1191"/>
      <c r="BU30" s="1191"/>
      <c r="BV30" s="1191"/>
      <c r="BW30" s="1191"/>
    </row>
    <row r="31" spans="1:75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D31" s="871">
        <f t="shared" si="1"/>
        <v>21</v>
      </c>
      <c r="AE31" s="871"/>
      <c r="AF31" s="872">
        <f t="shared" si="7"/>
        <v>750</v>
      </c>
      <c r="AG31" s="873"/>
      <c r="AI31" s="504">
        <f t="shared" si="5"/>
        <v>20</v>
      </c>
      <c r="AJ31" s="503" t="s">
        <v>35</v>
      </c>
      <c r="AK31" s="549">
        <v>21</v>
      </c>
      <c r="AL31" s="678">
        <f t="shared" si="6"/>
        <v>1</v>
      </c>
      <c r="AM31" s="867">
        <f t="shared" si="2"/>
        <v>1050000</v>
      </c>
      <c r="AN31" s="868"/>
      <c r="AO31" s="740"/>
      <c r="AP31" s="762"/>
      <c r="AR31" s="28">
        <f>SUM(AL$11:$AL30)+(AL31/2)</f>
        <v>20.5</v>
      </c>
      <c r="AS31" s="1073"/>
      <c r="AT31" s="1073"/>
      <c r="AU31" s="1188"/>
      <c r="AV31" s="1189"/>
      <c r="AX31" s="683"/>
      <c r="AY31" s="684"/>
      <c r="AZ31" s="685"/>
      <c r="BA31" s="1190"/>
      <c r="BB31" s="1190"/>
      <c r="BC31" s="686"/>
      <c r="BD31" s="687"/>
      <c r="BE31" s="688"/>
      <c r="BG31" s="689"/>
      <c r="BH31" s="40"/>
      <c r="BI31" s="1153"/>
      <c r="BJ31" s="1153"/>
      <c r="BK31" s="1153"/>
      <c r="BL31" s="1153"/>
      <c r="BM31" s="1153"/>
      <c r="BN31" s="1191"/>
      <c r="BO31" s="1191"/>
      <c r="BP31" s="1191"/>
      <c r="BQ31" s="1191"/>
      <c r="BR31" s="1191"/>
      <c r="BS31" s="1063"/>
      <c r="BT31" s="1063"/>
      <c r="BU31" s="1063"/>
      <c r="BV31" s="1063"/>
      <c r="BW31" s="1063"/>
    </row>
    <row r="32" spans="1:75" ht="30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D32" s="871">
        <f t="shared" si="1"/>
        <v>22</v>
      </c>
      <c r="AE32" s="871"/>
      <c r="AF32" s="872">
        <f t="shared" si="7"/>
        <v>750</v>
      </c>
      <c r="AG32" s="873"/>
      <c r="AI32" s="504">
        <f t="shared" si="5"/>
        <v>21</v>
      </c>
      <c r="AJ32" s="503" t="s">
        <v>35</v>
      </c>
      <c r="AK32" s="548">
        <v>22</v>
      </c>
      <c r="AL32" s="678">
        <f t="shared" si="6"/>
        <v>1</v>
      </c>
      <c r="AM32" s="867">
        <f t="shared" si="2"/>
        <v>1050000</v>
      </c>
      <c r="AN32" s="868"/>
      <c r="AO32" s="740"/>
      <c r="AP32" s="762"/>
      <c r="AR32" s="28">
        <f>SUM(AL$11:$AL31)+(AL32/2)</f>
        <v>21.5</v>
      </c>
      <c r="AS32" s="1073"/>
      <c r="AT32" s="1073"/>
      <c r="AU32" s="1188"/>
      <c r="AV32" s="1189"/>
      <c r="AX32" s="683"/>
      <c r="AY32" s="684"/>
      <c r="AZ32" s="685"/>
      <c r="BA32" s="1190"/>
      <c r="BB32" s="1190"/>
      <c r="BC32" s="686"/>
      <c r="BD32" s="687"/>
      <c r="BE32" s="688"/>
      <c r="BG32" s="689"/>
      <c r="BH32" s="40"/>
      <c r="BI32" s="1153"/>
      <c r="BJ32" s="1153"/>
      <c r="BK32" s="1153"/>
      <c r="BL32" s="1153"/>
      <c r="BM32" s="1153"/>
      <c r="BN32" s="1191"/>
      <c r="BO32" s="1191"/>
      <c r="BP32" s="1191"/>
      <c r="BQ32" s="1191"/>
      <c r="BR32" s="1191"/>
      <c r="BS32" s="1191"/>
      <c r="BT32" s="1191"/>
      <c r="BU32" s="1191"/>
      <c r="BV32" s="1191"/>
      <c r="BW32" s="1191"/>
    </row>
    <row r="33" spans="1:65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D33" s="871">
        <f t="shared" si="1"/>
        <v>23</v>
      </c>
      <c r="AE33" s="871"/>
      <c r="AF33" s="872">
        <f t="shared" si="7"/>
        <v>750</v>
      </c>
      <c r="AG33" s="873"/>
      <c r="AI33" s="504">
        <f t="shared" si="5"/>
        <v>22</v>
      </c>
      <c r="AJ33" s="503" t="s">
        <v>35</v>
      </c>
      <c r="AK33" s="549">
        <v>23</v>
      </c>
      <c r="AL33" s="678">
        <f t="shared" si="6"/>
        <v>1</v>
      </c>
      <c r="AM33" s="867">
        <f t="shared" si="2"/>
        <v>1050000</v>
      </c>
      <c r="AN33" s="868"/>
      <c r="AO33" s="740"/>
      <c r="AP33" s="762"/>
      <c r="AR33" s="28">
        <f>SUM(AL$11:$AL32)+(AL33/2)</f>
        <v>22.5</v>
      </c>
      <c r="AU33" s="1188"/>
      <c r="AV33" s="1189"/>
      <c r="AX33" s="683"/>
      <c r="AY33" s="684"/>
      <c r="AZ33" s="685"/>
      <c r="BA33" s="1190"/>
      <c r="BB33" s="1190"/>
      <c r="BC33" s="686"/>
      <c r="BD33" s="687"/>
      <c r="BE33" s="688"/>
      <c r="BG33" s="689"/>
      <c r="BH33" s="40"/>
      <c r="BI33" s="1153"/>
      <c r="BJ33" s="1153"/>
      <c r="BK33" s="1153"/>
      <c r="BL33" s="1153"/>
      <c r="BM33" s="1153"/>
    </row>
    <row r="34" spans="1:65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  <c r="AD34" s="871">
        <f t="shared" si="1"/>
        <v>24</v>
      </c>
      <c r="AE34" s="871"/>
      <c r="AF34" s="872">
        <f t="shared" si="7"/>
        <v>750</v>
      </c>
      <c r="AG34" s="873"/>
      <c r="AI34" s="504">
        <f t="shared" si="5"/>
        <v>23</v>
      </c>
      <c r="AJ34" s="503" t="s">
        <v>35</v>
      </c>
      <c r="AK34" s="549">
        <v>24</v>
      </c>
      <c r="AL34" s="678">
        <f t="shared" si="6"/>
        <v>1</v>
      </c>
      <c r="AM34" s="867">
        <f t="shared" si="2"/>
        <v>1050000</v>
      </c>
      <c r="AN34" s="868"/>
      <c r="AO34" s="740"/>
      <c r="AP34" s="762"/>
      <c r="AR34" s="28">
        <f>SUM(AL$11:$AL33)+(AL34/2)</f>
        <v>23.5</v>
      </c>
      <c r="AU34" s="1188"/>
      <c r="AV34" s="1189"/>
      <c r="AX34" s="683"/>
      <c r="AY34" s="684"/>
      <c r="AZ34" s="685"/>
      <c r="BA34" s="1190"/>
      <c r="BB34" s="1190"/>
      <c r="BC34" s="686"/>
      <c r="BD34" s="687"/>
      <c r="BE34" s="688"/>
      <c r="BG34" s="689"/>
      <c r="BH34" s="40"/>
      <c r="BI34" s="1153"/>
      <c r="BJ34" s="1153"/>
      <c r="BK34" s="1153"/>
      <c r="BL34" s="1153"/>
      <c r="BM34" s="1153"/>
    </row>
    <row r="35" spans="1:65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  <c r="AD35" s="871">
        <f t="shared" si="1"/>
        <v>25</v>
      </c>
      <c r="AE35" s="871"/>
      <c r="AF35" s="872">
        <f t="shared" si="7"/>
        <v>750</v>
      </c>
      <c r="AG35" s="873"/>
      <c r="AI35" s="504">
        <f t="shared" si="5"/>
        <v>24</v>
      </c>
      <c r="AJ35" s="503" t="s">
        <v>35</v>
      </c>
      <c r="AK35" s="548">
        <v>25</v>
      </c>
      <c r="AL35" s="678">
        <f t="shared" si="6"/>
        <v>1</v>
      </c>
      <c r="AM35" s="867">
        <f t="shared" si="2"/>
        <v>1050000</v>
      </c>
      <c r="AN35" s="868"/>
      <c r="AO35" s="740"/>
      <c r="AP35" s="762"/>
      <c r="AR35" s="28">
        <f>SUM(AL$11:$AL34)+(AL35/2)</f>
        <v>24.5</v>
      </c>
      <c r="AU35" s="1188"/>
      <c r="AV35" s="1189"/>
      <c r="AX35" s="683"/>
      <c r="AY35" s="684"/>
      <c r="AZ35" s="685"/>
      <c r="BA35" s="1190"/>
      <c r="BB35" s="1190"/>
      <c r="BC35" s="686"/>
      <c r="BD35" s="687"/>
      <c r="BE35" s="688"/>
      <c r="BG35" s="689"/>
      <c r="BH35" s="40"/>
      <c r="BI35" s="1153"/>
      <c r="BJ35" s="1153"/>
      <c r="BK35" s="1153"/>
      <c r="BL35" s="1153"/>
      <c r="BM35" s="1153"/>
    </row>
    <row r="36" spans="1:65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D36" s="871">
        <f t="shared" si="1"/>
        <v>26</v>
      </c>
      <c r="AE36" s="871"/>
      <c r="AF36" s="872">
        <f t="shared" si="7"/>
        <v>750</v>
      </c>
      <c r="AG36" s="873"/>
      <c r="AI36" s="504">
        <f t="shared" si="5"/>
        <v>25</v>
      </c>
      <c r="AJ36" s="503" t="s">
        <v>35</v>
      </c>
      <c r="AK36" s="549">
        <v>26</v>
      </c>
      <c r="AL36" s="678">
        <f t="shared" si="6"/>
        <v>1</v>
      </c>
      <c r="AM36" s="867">
        <f t="shared" si="2"/>
        <v>1050000</v>
      </c>
      <c r="AN36" s="868"/>
      <c r="AO36" s="567"/>
      <c r="AP36" s="762"/>
      <c r="AR36" s="28">
        <f>SUM(AL$11:$AL35)+(AL36/2)</f>
        <v>25.5</v>
      </c>
      <c r="AU36" s="1189"/>
      <c r="AV36" s="1189"/>
      <c r="AX36" s="690"/>
      <c r="AY36" s="691"/>
      <c r="AZ36" s="685"/>
      <c r="BA36" s="1190"/>
      <c r="BB36" s="1190"/>
      <c r="BC36" s="686"/>
      <c r="BD36" s="687"/>
      <c r="BE36" s="688"/>
      <c r="BG36" s="689"/>
      <c r="BH36" s="40"/>
      <c r="BI36" s="1153"/>
      <c r="BJ36" s="1153"/>
      <c r="BK36" s="1153"/>
      <c r="BL36" s="1153"/>
      <c r="BM36" s="1153"/>
    </row>
    <row r="37" spans="1:65" ht="17.25" customHeight="1">
      <c r="A37" s="6"/>
      <c r="B37" s="8"/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  <c r="AD37" s="871">
        <f t="shared" si="1"/>
        <v>27</v>
      </c>
      <c r="AE37" s="871"/>
      <c r="AF37" s="872">
        <f t="shared" si="7"/>
        <v>750</v>
      </c>
      <c r="AG37" s="873"/>
      <c r="AI37" s="763">
        <f t="shared" si="5"/>
        <v>26</v>
      </c>
      <c r="AJ37" s="505" t="s">
        <v>96</v>
      </c>
      <c r="AK37" s="764">
        <v>27</v>
      </c>
      <c r="AL37" s="765">
        <f t="shared" si="6"/>
        <v>1</v>
      </c>
      <c r="AM37" s="1197">
        <f t="shared" si="2"/>
        <v>1050000</v>
      </c>
      <c r="AN37" s="1198"/>
      <c r="AO37" s="766"/>
      <c r="AP37" s="767"/>
      <c r="AR37" s="28">
        <f>SUM(AL$11:$AL36)+(AL37/2)</f>
        <v>26.5</v>
      </c>
      <c r="AX37" s="3"/>
      <c r="AY37" s="3"/>
      <c r="BA37" s="52"/>
      <c r="BB37" s="52"/>
      <c r="BC37" s="52"/>
      <c r="BD37" s="52"/>
      <c r="BE37" s="1217"/>
      <c r="BF37" s="1217"/>
      <c r="BL37" s="5"/>
      <c r="BM37" s="5"/>
    </row>
    <row r="38" spans="1:65" ht="17.25" customHeight="1">
      <c r="A38" s="6"/>
      <c r="B38" s="73"/>
      <c r="C38" s="55"/>
      <c r="D38" s="8"/>
      <c r="E38" s="8"/>
      <c r="F38" s="63"/>
      <c r="G38" s="8"/>
      <c r="H38" s="8"/>
      <c r="I38" s="8"/>
      <c r="J38" s="46"/>
      <c r="K38" s="55"/>
      <c r="L38" s="46"/>
      <c r="M38" s="4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8"/>
      <c r="Z38" s="46"/>
      <c r="AA38" s="46"/>
      <c r="AB38" s="46"/>
      <c r="AC38" s="9"/>
      <c r="AV38" s="5"/>
      <c r="AW38" s="5"/>
      <c r="AX38" s="3"/>
      <c r="AY38" s="3"/>
    </row>
    <row r="39" spans="1:65" ht="17.25" customHeight="1">
      <c r="A39" s="6"/>
      <c r="B39" s="73"/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9"/>
      <c r="AC39" s="9"/>
      <c r="AD39" s="1223" t="s">
        <v>847</v>
      </c>
      <c r="AE39" s="1224"/>
      <c r="AF39" s="1225"/>
      <c r="AG39" s="773">
        <v>0</v>
      </c>
      <c r="AH39" s="752"/>
      <c r="AI39" s="1572" t="s">
        <v>851</v>
      </c>
      <c r="AJ39" s="1573"/>
      <c r="AK39" s="57"/>
      <c r="AL39" s="757" t="s">
        <v>873</v>
      </c>
    </row>
    <row r="40" spans="1:65" ht="17.25" customHeight="1">
      <c r="A40" s="6"/>
      <c r="B40" s="73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9"/>
      <c r="AC40" s="9"/>
      <c r="AD40" s="1223" t="s">
        <v>848</v>
      </c>
      <c r="AE40" s="1224"/>
      <c r="AF40" s="1225"/>
      <c r="AG40" s="773">
        <v>0</v>
      </c>
      <c r="AH40" s="752"/>
      <c r="AI40" s="1572" t="s">
        <v>858</v>
      </c>
      <c r="AJ40" s="1573"/>
      <c r="AK40" s="57"/>
      <c r="AL40" s="757" t="s">
        <v>874</v>
      </c>
    </row>
    <row r="41" spans="1:65" ht="17.25" customHeight="1">
      <c r="A41" s="6"/>
      <c r="B41" s="8"/>
      <c r="C41" s="55"/>
      <c r="D41" s="8"/>
      <c r="E41" s="8"/>
      <c r="F41" s="63"/>
      <c r="G41" s="8"/>
      <c r="H41" s="8"/>
      <c r="I41" s="8"/>
      <c r="J41" s="46"/>
      <c r="K41" s="55"/>
      <c r="L41" s="46"/>
      <c r="M41" s="4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58"/>
      <c r="Z41" s="46"/>
      <c r="AA41" s="46"/>
      <c r="AB41" s="46"/>
      <c r="AC41" s="9"/>
      <c r="AD41" s="1223" t="s">
        <v>877</v>
      </c>
      <c r="AE41" s="1224"/>
      <c r="AF41" s="1225"/>
      <c r="AG41" s="773">
        <f>0.16+1</f>
        <v>1.1599999999999999</v>
      </c>
      <c r="AH41" s="752"/>
      <c r="AI41" s="1572" t="s">
        <v>878</v>
      </c>
      <c r="AJ41" s="1573"/>
      <c r="AK41" s="57"/>
      <c r="AL41" s="757" t="s">
        <v>875</v>
      </c>
    </row>
    <row r="42" spans="1:65" ht="17.25" customHeight="1">
      <c r="A42" s="6"/>
      <c r="B42" s="7" t="s">
        <v>98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46"/>
      <c r="AC42" s="9"/>
      <c r="AD42" s="1223" t="s">
        <v>849</v>
      </c>
      <c r="AE42" s="1224"/>
      <c r="AF42" s="1225"/>
      <c r="AG42" s="769">
        <f>+AG40-AG41</f>
        <v>-1.1599999999999999</v>
      </c>
      <c r="AH42" s="752"/>
      <c r="AI42" s="1572"/>
      <c r="AJ42" s="1573"/>
      <c r="AK42" s="57"/>
      <c r="AL42" s="57"/>
    </row>
    <row r="43" spans="1:65" ht="17.25" customHeight="1">
      <c r="A43" s="6"/>
      <c r="B43" s="7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46"/>
      <c r="AC43" s="9"/>
      <c r="AD43" s="1223" t="s">
        <v>213</v>
      </c>
      <c r="AE43" s="1224"/>
      <c r="AF43" s="1225"/>
      <c r="AG43" s="770">
        <f>+AG39-AG42</f>
        <v>1.1599999999999999</v>
      </c>
      <c r="AH43" s="752"/>
      <c r="AI43" s="1572" t="s">
        <v>850</v>
      </c>
      <c r="AJ43" s="1573"/>
      <c r="AK43" s="57"/>
      <c r="AL43" s="57"/>
    </row>
    <row r="44" spans="1:65" ht="17.25" customHeight="1">
      <c r="A44" s="6"/>
      <c r="B44" s="476" t="s">
        <v>99</v>
      </c>
      <c r="C44" s="42" t="s">
        <v>100</v>
      </c>
      <c r="D44" s="42"/>
      <c r="E44" s="42"/>
      <c r="F44" s="42"/>
      <c r="G44" s="42"/>
      <c r="H44" s="42"/>
      <c r="I44" s="476"/>
      <c r="J44" s="1218"/>
      <c r="K44" s="1218"/>
      <c r="L44" s="42"/>
      <c r="M44" s="42"/>
      <c r="N44" s="42"/>
      <c r="O44" s="42"/>
      <c r="P44" s="42"/>
      <c r="Q44" s="178"/>
      <c r="R44" s="178"/>
      <c r="S44" s="178"/>
      <c r="T44" s="178"/>
      <c r="U44" s="178"/>
      <c r="V44" s="178"/>
      <c r="W44" s="464"/>
      <c r="X44" s="178"/>
      <c r="Y44" s="82"/>
      <c r="Z44" s="82"/>
      <c r="AA44" s="76"/>
      <c r="AB44" s="9"/>
      <c r="AC44" s="9"/>
      <c r="AD44" s="1223" t="s">
        <v>859</v>
      </c>
      <c r="AE44" s="1224"/>
      <c r="AF44" s="1225"/>
      <c r="AG44" s="752">
        <f>+AG40-AG42</f>
        <v>1.1599999999999999</v>
      </c>
      <c r="AH44" s="752"/>
      <c r="AI44" s="753" t="s">
        <v>865</v>
      </c>
      <c r="AJ44" s="753"/>
      <c r="AK44" s="57"/>
      <c r="AL44" s="757" t="s">
        <v>876</v>
      </c>
      <c r="AX44" s="577"/>
    </row>
    <row r="45" spans="1:65" ht="17.100000000000001" customHeight="1">
      <c r="A45" s="6"/>
      <c r="B45" s="476" t="s">
        <v>101</v>
      </c>
      <c r="C45" s="5" t="s">
        <v>102</v>
      </c>
      <c r="D45" s="5"/>
      <c r="E45" s="5"/>
      <c r="F45" s="5"/>
      <c r="H45" s="364" t="s">
        <v>103</v>
      </c>
      <c r="I45" s="511" t="s">
        <v>854</v>
      </c>
      <c r="J45" s="364"/>
      <c r="K45" s="1205" t="s">
        <v>104</v>
      </c>
      <c r="L45" s="1206"/>
      <c r="M45" s="1206"/>
      <c r="N45" s="1206"/>
      <c r="O45" s="1207"/>
      <c r="P45" s="5"/>
      <c r="T45" s="2"/>
      <c r="U45" s="2"/>
      <c r="V45" s="2"/>
      <c r="W45" s="465"/>
      <c r="X45" s="465"/>
      <c r="Y45" s="88"/>
      <c r="Z45" s="88"/>
      <c r="AA45" s="76"/>
      <c r="AB45" s="9"/>
      <c r="AC45" s="9"/>
      <c r="AD45" s="57"/>
      <c r="AE45" s="57"/>
      <c r="AF45" s="57"/>
      <c r="AG45" s="57"/>
      <c r="AH45" s="57"/>
      <c r="AI45" s="57"/>
      <c r="AJ45" s="57"/>
      <c r="AK45" s="57"/>
      <c r="AL45" s="57"/>
    </row>
    <row r="46" spans="1:65" ht="17.100000000000001" customHeight="1">
      <c r="A46" s="6"/>
      <c r="B46" s="42"/>
      <c r="C46" s="477" t="s">
        <v>105</v>
      </c>
      <c r="D46" s="5"/>
      <c r="E46" s="5"/>
      <c r="F46" s="5" t="s">
        <v>106</v>
      </c>
      <c r="G46" s="5"/>
      <c r="H46" s="5"/>
      <c r="I46" s="5"/>
      <c r="J46" s="5"/>
      <c r="K46" s="5"/>
      <c r="L46" s="5"/>
      <c r="M46" s="1202"/>
      <c r="N46" s="1202"/>
      <c r="O46" s="5"/>
      <c r="P46" s="5"/>
      <c r="Q46" s="159"/>
      <c r="R46" s="159"/>
      <c r="S46" s="159"/>
      <c r="T46" s="466"/>
      <c r="U46" s="466"/>
      <c r="V46" s="466"/>
      <c r="W46" s="467"/>
      <c r="X46" s="467"/>
      <c r="Y46" s="91"/>
      <c r="Z46" s="91"/>
      <c r="AA46" s="76"/>
      <c r="AB46" s="97"/>
      <c r="AC46" s="9"/>
      <c r="AD46" s="750"/>
      <c r="AE46" s="751"/>
      <c r="AF46" s="751"/>
      <c r="AG46" s="751"/>
      <c r="AH46" s="188"/>
      <c r="AI46" s="57"/>
      <c r="AJ46" s="57"/>
      <c r="AK46" s="57"/>
      <c r="AL46" s="57"/>
    </row>
    <row r="47" spans="1:65" ht="17.100000000000001" customHeight="1">
      <c r="A47" s="6"/>
      <c r="B47" s="42"/>
      <c r="C47" s="364" t="s">
        <v>107</v>
      </c>
      <c r="D47" s="5" t="s">
        <v>108</v>
      </c>
      <c r="E47" s="5"/>
      <c r="F47" s="5"/>
      <c r="G47" s="5"/>
      <c r="H47" s="5" t="s">
        <v>516</v>
      </c>
      <c r="I47" s="5"/>
      <c r="J47" s="5"/>
      <c r="K47" s="5"/>
      <c r="L47" s="478" t="s">
        <v>110</v>
      </c>
      <c r="M47" s="537" t="e">
        <f>ROUND(I45/0.075,0)</f>
        <v>#VALUE!</v>
      </c>
      <c r="N47" s="479"/>
      <c r="O47" s="5"/>
      <c r="P47" s="3" t="s">
        <v>111</v>
      </c>
      <c r="R47" s="5" t="e">
        <f>+M47/2</f>
        <v>#VALUE!</v>
      </c>
      <c r="T47" s="2"/>
      <c r="U47" s="2"/>
      <c r="V47" s="2"/>
      <c r="W47" s="2"/>
      <c r="X47" s="2"/>
      <c r="Y47" s="77"/>
      <c r="Z47" s="77"/>
      <c r="AA47" s="77"/>
      <c r="AB47" s="100"/>
      <c r="AC47" s="9"/>
      <c r="AD47" s="9"/>
      <c r="AE47" s="9"/>
      <c r="AF47" s="9"/>
      <c r="AG47" s="9"/>
      <c r="AH47" s="9"/>
    </row>
    <row r="48" spans="1:65" ht="17.100000000000001" customHeight="1">
      <c r="A48" s="6"/>
      <c r="B48" s="42"/>
      <c r="C48" s="364" t="s">
        <v>107</v>
      </c>
      <c r="D48" s="5" t="s">
        <v>112</v>
      </c>
      <c r="E48" s="5"/>
      <c r="F48" s="5"/>
      <c r="G48" s="5"/>
      <c r="H48" s="5" t="s">
        <v>518</v>
      </c>
      <c r="I48" s="5"/>
      <c r="J48" s="5"/>
      <c r="K48" s="5"/>
      <c r="L48" s="478" t="s">
        <v>110</v>
      </c>
      <c r="M48" s="479" t="e">
        <f>ROUND(I45/0.082,0)</f>
        <v>#VALUE!</v>
      </c>
      <c r="N48" s="479"/>
      <c r="O48" s="5"/>
      <c r="P48" s="3" t="s">
        <v>111</v>
      </c>
      <c r="Q48" s="404"/>
      <c r="R48" s="5" t="e">
        <f>+M48/2</f>
        <v>#VALUE!</v>
      </c>
      <c r="T48" s="2"/>
      <c r="U48" s="2"/>
      <c r="V48" s="2"/>
      <c r="W48" s="2"/>
      <c r="X48" s="2"/>
      <c r="Y48" s="77"/>
      <c r="Z48" s="77"/>
      <c r="AA48" s="77"/>
      <c r="AB48" s="9"/>
      <c r="AC48" s="97"/>
      <c r="AD48" s="97"/>
      <c r="AE48" s="97"/>
      <c r="AF48" s="46"/>
      <c r="AG48" s="46"/>
      <c r="AH48" s="9"/>
    </row>
    <row r="49" spans="1:56" ht="17.100000000000001" customHeight="1">
      <c r="A49" s="6"/>
      <c r="B49" s="476"/>
      <c r="C49" s="364" t="s">
        <v>107</v>
      </c>
      <c r="D49" s="5" t="s">
        <v>114</v>
      </c>
      <c r="E49" s="5"/>
      <c r="F49" s="5"/>
      <c r="G49" s="5"/>
      <c r="H49" s="5" t="s">
        <v>520</v>
      </c>
      <c r="I49" s="5"/>
      <c r="J49" s="5"/>
      <c r="K49" s="5"/>
      <c r="L49" s="478" t="s">
        <v>110</v>
      </c>
      <c r="M49" s="479" t="e">
        <f>ROUND(40+I45/0.2,0)</f>
        <v>#VALUE!</v>
      </c>
      <c r="N49" s="479"/>
      <c r="O49" s="5"/>
      <c r="P49" s="3" t="s">
        <v>111</v>
      </c>
      <c r="Q49" s="472"/>
      <c r="R49" s="5" t="e">
        <f>+M49/2</f>
        <v>#VALUE!</v>
      </c>
      <c r="S49" s="428"/>
      <c r="T49" s="178"/>
      <c r="U49" s="178"/>
      <c r="V49" s="178"/>
      <c r="W49" s="178"/>
      <c r="X49" s="178"/>
      <c r="Y49" s="82"/>
      <c r="Z49" s="82"/>
      <c r="AA49" s="82"/>
      <c r="AB49" s="46"/>
      <c r="AC49" s="100"/>
      <c r="AD49" s="100"/>
      <c r="AE49" s="100"/>
      <c r="AF49" s="46"/>
      <c r="AG49" s="46"/>
      <c r="AH49" s="9"/>
    </row>
    <row r="50" spans="1:56" ht="17.100000000000001" customHeight="1">
      <c r="A50" s="6"/>
      <c r="C50" s="1065" t="str">
        <f>B14</f>
        <v>매립층</v>
      </c>
      <c r="D50" s="1065"/>
      <c r="E50" s="5" t="s">
        <v>574</v>
      </c>
      <c r="F50" s="5"/>
      <c r="G50" s="5"/>
      <c r="H50" s="5"/>
      <c r="I50" s="5"/>
      <c r="J50" s="5" t="s">
        <v>103</v>
      </c>
      <c r="K50" s="1202" t="e">
        <f>+MIN(R47:R49)</f>
        <v>#VALUE!</v>
      </c>
      <c r="L50" s="1202"/>
      <c r="M50" s="477" t="s">
        <v>117</v>
      </c>
      <c r="N50" s="364"/>
      <c r="O50" s="5"/>
      <c r="P50" s="5" t="s">
        <v>575</v>
      </c>
      <c r="R50" s="3">
        <f>N14</f>
        <v>0</v>
      </c>
      <c r="S50" s="3" t="s">
        <v>576</v>
      </c>
      <c r="T50" s="2"/>
      <c r="U50" s="2"/>
      <c r="V50" s="2"/>
      <c r="W50" s="2"/>
      <c r="X50" s="2"/>
      <c r="Y50" s="77"/>
      <c r="Z50" s="99"/>
      <c r="AA50" s="99"/>
      <c r="AB50" s="46"/>
      <c r="AC50" s="9"/>
      <c r="AD50" s="9"/>
      <c r="AE50" s="9"/>
      <c r="AF50" s="46"/>
      <c r="AG50" s="46"/>
      <c r="AH50" s="9"/>
      <c r="AX50" s="3"/>
      <c r="AY50" s="3"/>
      <c r="BC50" s="5"/>
      <c r="BD50" s="5"/>
    </row>
    <row r="51" spans="1:56" ht="17.100000000000001" customHeight="1">
      <c r="A51" s="6"/>
      <c r="B51" s="2"/>
      <c r="D51" s="468"/>
      <c r="E51" s="468"/>
      <c r="F51" s="468"/>
      <c r="G51" s="469"/>
      <c r="H51" s="469"/>
      <c r="I51" s="469"/>
      <c r="J51" s="469"/>
      <c r="K51" s="473"/>
      <c r="L51" s="473"/>
      <c r="M51" s="473"/>
      <c r="N51" s="473"/>
      <c r="O51" s="473"/>
      <c r="P51" s="473"/>
      <c r="T51" s="2"/>
      <c r="U51" s="2"/>
      <c r="V51" s="2"/>
      <c r="W51" s="2"/>
      <c r="X51" s="2"/>
      <c r="Y51" s="77"/>
      <c r="Z51" s="77"/>
      <c r="AA51" s="77"/>
      <c r="AB51" s="9"/>
      <c r="AC51" s="46"/>
      <c r="AD51" s="46"/>
      <c r="AE51" s="104"/>
      <c r="AF51" s="105"/>
      <c r="AG51" s="105"/>
      <c r="AH51" s="105"/>
      <c r="AI51" s="105"/>
      <c r="AK51" s="106"/>
      <c r="AL51" s="106"/>
      <c r="AM51" s="106"/>
      <c r="AN51" s="1219"/>
      <c r="AO51" s="1220"/>
      <c r="AP51" s="1220"/>
      <c r="AQ51" s="1220"/>
      <c r="AR51" s="1221"/>
      <c r="AS51" s="105"/>
      <c r="AT51" s="107"/>
      <c r="AX51" s="3"/>
      <c r="AY51" s="3"/>
      <c r="BC51" s="5"/>
      <c r="BD51" s="5"/>
    </row>
    <row r="52" spans="1:56" ht="17.100000000000001" customHeight="1">
      <c r="A52" s="6"/>
      <c r="B52" s="476" t="s">
        <v>101</v>
      </c>
      <c r="C52" s="5" t="s">
        <v>102</v>
      </c>
      <c r="D52" s="5"/>
      <c r="E52" s="5"/>
      <c r="F52" s="5"/>
      <c r="H52" s="364" t="s">
        <v>103</v>
      </c>
      <c r="I52" s="511" t="s">
        <v>854</v>
      </c>
      <c r="J52" s="364"/>
      <c r="K52" s="1205" t="s">
        <v>104</v>
      </c>
      <c r="L52" s="1206"/>
      <c r="M52" s="1206"/>
      <c r="N52" s="1206"/>
      <c r="O52" s="1207"/>
      <c r="P52" s="5"/>
      <c r="T52" s="2"/>
      <c r="U52" s="2"/>
      <c r="V52" s="2"/>
      <c r="W52" s="2"/>
      <c r="X52" s="2"/>
      <c r="Y52" s="77"/>
      <c r="Z52" s="77"/>
      <c r="AA52" s="77"/>
      <c r="AB52" s="9"/>
      <c r="AC52" s="46"/>
      <c r="AD52" s="46"/>
      <c r="AE52" s="108"/>
      <c r="AF52" s="109"/>
      <c r="AG52" s="105"/>
      <c r="AH52" s="105"/>
      <c r="AI52" s="105"/>
      <c r="AJ52" s="105"/>
      <c r="AK52" s="105"/>
      <c r="AL52" s="105"/>
      <c r="AM52" s="105"/>
      <c r="AN52" s="105"/>
      <c r="AO52" s="105"/>
      <c r="AP52" s="1204"/>
      <c r="AQ52" s="1204"/>
      <c r="AR52" s="105"/>
      <c r="AS52" s="105"/>
      <c r="AT52" s="110"/>
      <c r="AX52" s="3"/>
      <c r="AY52" s="3"/>
      <c r="BC52" s="5"/>
      <c r="BD52" s="5"/>
    </row>
    <row r="53" spans="1:56" ht="17.100000000000001" customHeight="1">
      <c r="A53" s="6"/>
      <c r="B53" s="42"/>
      <c r="C53" s="477" t="s">
        <v>105</v>
      </c>
      <c r="D53" s="5"/>
      <c r="E53" s="5"/>
      <c r="F53" s="5" t="s">
        <v>106</v>
      </c>
      <c r="G53" s="5"/>
      <c r="H53" s="5"/>
      <c r="I53" s="5"/>
      <c r="J53" s="5"/>
      <c r="K53" s="5"/>
      <c r="L53" s="5"/>
      <c r="M53" s="1202"/>
      <c r="N53" s="1202"/>
      <c r="O53" s="5"/>
      <c r="P53" s="5"/>
      <c r="Q53" s="159"/>
      <c r="R53" s="159"/>
      <c r="S53" s="159"/>
      <c r="T53" s="466"/>
      <c r="U53" s="466"/>
      <c r="V53" s="466"/>
      <c r="W53" s="466"/>
      <c r="X53" s="466"/>
      <c r="Y53" s="76"/>
      <c r="Z53" s="76"/>
      <c r="AA53" s="76"/>
      <c r="AB53" s="9"/>
      <c r="AC53" s="9"/>
      <c r="AD53" s="58"/>
      <c r="AE53" s="108"/>
      <c r="AF53" s="106"/>
      <c r="AG53" s="105"/>
      <c r="AH53" s="105"/>
      <c r="AI53" s="105"/>
      <c r="AJ53" s="105"/>
      <c r="AK53" s="105"/>
      <c r="AL53" s="105"/>
      <c r="AM53" s="105"/>
      <c r="AN53" s="105"/>
      <c r="AO53" s="111"/>
      <c r="AP53" s="112"/>
      <c r="AQ53" s="112"/>
      <c r="AR53" s="105"/>
      <c r="AT53" s="107"/>
      <c r="AX53" s="3"/>
      <c r="AY53" s="3"/>
      <c r="BC53" s="5"/>
      <c r="BD53" s="5"/>
    </row>
    <row r="54" spans="1:56" ht="17.100000000000001" customHeight="1">
      <c r="A54" s="6"/>
      <c r="B54" s="42"/>
      <c r="C54" s="364" t="s">
        <v>107</v>
      </c>
      <c r="D54" s="5" t="s">
        <v>108</v>
      </c>
      <c r="E54" s="5"/>
      <c r="F54" s="5"/>
      <c r="G54" s="5"/>
      <c r="H54" s="5" t="s">
        <v>515</v>
      </c>
      <c r="I54" s="5"/>
      <c r="J54" s="5"/>
      <c r="K54" s="5"/>
      <c r="L54" s="478" t="s">
        <v>238</v>
      </c>
      <c r="M54" s="479" t="e">
        <f>ROUND(I52/0.075,0)</f>
        <v>#VALUE!</v>
      </c>
      <c r="N54" s="479"/>
      <c r="O54" s="5"/>
      <c r="P54" s="3" t="s">
        <v>111</v>
      </c>
      <c r="R54" s="5" t="e">
        <f>+M54/2</f>
        <v>#VALUE!</v>
      </c>
      <c r="T54" s="2"/>
      <c r="U54" s="2"/>
      <c r="V54" s="2"/>
      <c r="W54" s="2"/>
      <c r="X54" s="2"/>
      <c r="Y54" s="77"/>
      <c r="Z54" s="77"/>
      <c r="AA54" s="77"/>
      <c r="AB54" s="9"/>
      <c r="AC54" s="58"/>
      <c r="AD54" s="9"/>
      <c r="AE54" s="108"/>
      <c r="AF54" s="106"/>
      <c r="AG54" s="105"/>
      <c r="AH54" s="105"/>
      <c r="AI54" s="105"/>
      <c r="AJ54" s="105"/>
      <c r="AK54" s="105"/>
      <c r="AL54" s="105"/>
      <c r="AM54" s="105"/>
      <c r="AN54" s="105"/>
      <c r="AO54" s="111"/>
      <c r="AP54" s="112"/>
      <c r="AQ54" s="112"/>
      <c r="AR54" s="105"/>
      <c r="AT54" s="113"/>
      <c r="AX54" s="3"/>
      <c r="AY54" s="3"/>
      <c r="BC54" s="5"/>
      <c r="BD54" s="5"/>
    </row>
    <row r="55" spans="1:56" ht="17.100000000000001" customHeight="1">
      <c r="A55" s="6"/>
      <c r="B55" s="42"/>
      <c r="C55" s="364" t="s">
        <v>107</v>
      </c>
      <c r="D55" s="5" t="s">
        <v>112</v>
      </c>
      <c r="E55" s="5"/>
      <c r="F55" s="5"/>
      <c r="G55" s="5"/>
      <c r="H55" s="5" t="s">
        <v>517</v>
      </c>
      <c r="I55" s="5"/>
      <c r="J55" s="5"/>
      <c r="K55" s="5"/>
      <c r="L55" s="478" t="s">
        <v>238</v>
      </c>
      <c r="M55" s="479" t="e">
        <f>ROUND(I52/0.082,0)</f>
        <v>#VALUE!</v>
      </c>
      <c r="N55" s="479"/>
      <c r="O55" s="5"/>
      <c r="P55" s="3" t="s">
        <v>111</v>
      </c>
      <c r="Q55" s="404"/>
      <c r="R55" s="5" t="e">
        <f>+M55/2</f>
        <v>#VALUE!</v>
      </c>
      <c r="T55" s="2"/>
      <c r="U55" s="2"/>
      <c r="V55" s="2"/>
      <c r="W55" s="2"/>
      <c r="X55" s="2"/>
      <c r="Y55" s="77"/>
      <c r="Z55" s="77"/>
      <c r="AA55" s="77"/>
      <c r="AB55" s="9"/>
      <c r="AC55" s="58"/>
      <c r="AD55" s="114"/>
      <c r="AE55" s="104"/>
      <c r="AF55" s="106"/>
      <c r="AG55" s="105"/>
      <c r="AH55" s="105"/>
      <c r="AI55" s="105"/>
      <c r="AJ55" s="105"/>
      <c r="AK55" s="105"/>
      <c r="AL55" s="105"/>
      <c r="AM55" s="105"/>
      <c r="AN55" s="105"/>
      <c r="AO55" s="111"/>
      <c r="AP55" s="112"/>
      <c r="AQ55" s="112"/>
      <c r="AR55" s="105"/>
      <c r="AT55" s="115"/>
      <c r="AU55" s="107"/>
      <c r="AV55" s="107"/>
      <c r="AW55" s="9"/>
      <c r="AX55" s="9"/>
      <c r="AY55" s="3"/>
      <c r="BC55" s="5"/>
      <c r="BD55" s="5"/>
    </row>
    <row r="56" spans="1:56" ht="17.100000000000001" customHeight="1">
      <c r="A56" s="6"/>
      <c r="B56" s="476" t="s">
        <v>101</v>
      </c>
      <c r="C56" s="364" t="s">
        <v>107</v>
      </c>
      <c r="D56" s="5" t="s">
        <v>114</v>
      </c>
      <c r="E56" s="5"/>
      <c r="F56" s="5"/>
      <c r="G56" s="5"/>
      <c r="H56" s="5" t="s">
        <v>519</v>
      </c>
      <c r="I56" s="5"/>
      <c r="J56" s="5"/>
      <c r="K56" s="5"/>
      <c r="L56" s="478" t="s">
        <v>238</v>
      </c>
      <c r="M56" s="479" t="e">
        <f>ROUND(40+I52/0.2,0)</f>
        <v>#VALUE!</v>
      </c>
      <c r="N56" s="479"/>
      <c r="O56" s="5"/>
      <c r="P56" s="3" t="s">
        <v>111</v>
      </c>
      <c r="Q56" s="472"/>
      <c r="R56" s="5" t="e">
        <f>+M56/2</f>
        <v>#VALUE!</v>
      </c>
      <c r="S56" s="428"/>
      <c r="T56" s="178"/>
      <c r="U56" s="178"/>
      <c r="V56" s="178"/>
      <c r="W56" s="178"/>
      <c r="X56" s="178"/>
      <c r="Y56" s="82"/>
      <c r="Z56" s="82"/>
      <c r="AA56" s="82"/>
      <c r="AB56" s="9"/>
      <c r="AC56" s="58"/>
      <c r="AD56" s="114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9"/>
      <c r="AQ56" s="106"/>
      <c r="AR56" s="105"/>
      <c r="AS56" s="105"/>
      <c r="AT56" s="107"/>
      <c r="AU56" s="110"/>
      <c r="AV56" s="110"/>
      <c r="AW56" s="46"/>
      <c r="AX56" s="46"/>
      <c r="AY56" s="3"/>
      <c r="BC56" s="5"/>
      <c r="BD56" s="5"/>
    </row>
    <row r="57" spans="1:56" ht="17.100000000000001" customHeight="1">
      <c r="A57" s="6"/>
      <c r="C57" s="1065" t="str">
        <f>B15</f>
        <v>퇴적층</v>
      </c>
      <c r="D57" s="1065"/>
      <c r="E57" s="5" t="s">
        <v>574</v>
      </c>
      <c r="F57" s="5"/>
      <c r="G57" s="5"/>
      <c r="H57" s="5"/>
      <c r="I57" s="5"/>
      <c r="J57" s="5" t="s">
        <v>103</v>
      </c>
      <c r="K57" s="1209" t="e">
        <f>+MIN(R54:R56)</f>
        <v>#VALUE!</v>
      </c>
      <c r="L57" s="1209"/>
      <c r="M57" s="477" t="s">
        <v>117</v>
      </c>
      <c r="N57" s="364"/>
      <c r="O57" s="5"/>
      <c r="P57" s="5" t="s">
        <v>575</v>
      </c>
      <c r="R57" s="3">
        <f>N15</f>
        <v>0</v>
      </c>
      <c r="S57" s="3" t="s">
        <v>576</v>
      </c>
      <c r="T57" s="2"/>
      <c r="U57" s="2"/>
      <c r="V57" s="2"/>
      <c r="W57" s="2"/>
      <c r="X57" s="2"/>
      <c r="Y57" s="77"/>
      <c r="Z57" s="99"/>
      <c r="AA57" s="99"/>
      <c r="AB57" s="9"/>
      <c r="AC57" s="58"/>
      <c r="AD57" s="114"/>
      <c r="AE57" s="114"/>
      <c r="AF57" s="114"/>
      <c r="AG57" s="2"/>
      <c r="AH57" s="9"/>
      <c r="AU57" s="105"/>
      <c r="AV57" s="107"/>
      <c r="AW57" s="9"/>
      <c r="AX57" s="9"/>
      <c r="AY57" s="3"/>
      <c r="BC57" s="5"/>
      <c r="BD57" s="5"/>
    </row>
    <row r="58" spans="1:56" ht="17.100000000000001" customHeight="1">
      <c r="A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477"/>
      <c r="N58" s="364"/>
      <c r="O58" s="5"/>
      <c r="P58" s="42"/>
      <c r="Q58" s="2"/>
      <c r="R58" s="2"/>
      <c r="T58" s="2"/>
      <c r="U58" s="2"/>
      <c r="V58" s="2"/>
      <c r="W58" s="2"/>
      <c r="X58" s="2"/>
      <c r="Y58" s="77"/>
      <c r="Z58" s="99"/>
      <c r="AA58" s="99"/>
      <c r="AB58" s="9"/>
      <c r="AC58" s="58"/>
      <c r="AD58" s="114"/>
      <c r="AE58" s="114"/>
      <c r="AF58" s="114"/>
      <c r="AG58" s="2"/>
      <c r="AH58" s="9"/>
      <c r="AU58" s="105"/>
      <c r="AV58" s="107"/>
      <c r="AW58" s="9"/>
      <c r="AX58" s="9"/>
      <c r="AY58" s="3"/>
      <c r="BC58" s="5"/>
      <c r="BD58" s="5"/>
    </row>
    <row r="59" spans="1:56" ht="17.100000000000001" customHeight="1">
      <c r="A59" s="6"/>
      <c r="B59" s="476" t="s">
        <v>118</v>
      </c>
      <c r="C59" s="5" t="s">
        <v>119</v>
      </c>
      <c r="D59" s="5"/>
      <c r="E59" s="5"/>
      <c r="F59" s="5"/>
      <c r="G59" s="5"/>
      <c r="H59" s="5"/>
      <c r="I59" s="5"/>
      <c r="J59" s="5"/>
      <c r="K59" s="5"/>
      <c r="L59" s="5"/>
      <c r="M59" s="477"/>
      <c r="N59" s="364"/>
      <c r="O59" s="5"/>
      <c r="P59" s="42"/>
      <c r="Q59" s="2"/>
      <c r="R59" s="2"/>
      <c r="T59" s="2"/>
      <c r="U59" s="2"/>
      <c r="V59" s="2"/>
      <c r="W59" s="2"/>
      <c r="X59" s="2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U59" s="105"/>
      <c r="AV59" s="116"/>
      <c r="AW59" s="97"/>
      <c r="AX59" s="97"/>
      <c r="AY59" s="3"/>
      <c r="BC59" s="5"/>
      <c r="BD59" s="5"/>
    </row>
    <row r="60" spans="1:56" ht="17.100000000000001" customHeight="1">
      <c r="A60" s="6"/>
      <c r="C60" s="5" t="s">
        <v>102</v>
      </c>
      <c r="D60" s="5"/>
      <c r="E60" s="5"/>
      <c r="F60" s="5"/>
      <c r="H60" s="364" t="s">
        <v>103</v>
      </c>
      <c r="I60" s="511" t="str">
        <f>I45</f>
        <v>O</v>
      </c>
      <c r="J60" s="364"/>
      <c r="K60" s="1208" t="s">
        <v>104</v>
      </c>
      <c r="L60" s="1208"/>
      <c r="M60" s="1208"/>
      <c r="N60" s="1208"/>
      <c r="O60" s="1208"/>
      <c r="P60" s="42"/>
      <c r="Q60" s="2"/>
      <c r="R60" s="2"/>
      <c r="T60" s="2"/>
      <c r="U60" s="2"/>
      <c r="V60" s="2"/>
      <c r="W60" s="2"/>
      <c r="X60" s="2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U60" s="107"/>
      <c r="AV60" s="107"/>
      <c r="AW60" s="9"/>
      <c r="AX60" s="100"/>
      <c r="AY60" s="3"/>
      <c r="BC60" s="5"/>
      <c r="BD60" s="5"/>
    </row>
    <row r="61" spans="1:56" ht="17.100000000000001" customHeight="1">
      <c r="A61" s="6"/>
      <c r="B61" s="476" t="s">
        <v>101</v>
      </c>
      <c r="C61" s="5" t="s">
        <v>120</v>
      </c>
      <c r="D61" s="5"/>
      <c r="E61" s="5"/>
      <c r="F61" s="5"/>
      <c r="G61" s="5"/>
      <c r="H61" s="5"/>
      <c r="I61" s="364" t="s">
        <v>103</v>
      </c>
      <c r="J61" s="1202" t="e">
        <f>MIN(M62:N66)</f>
        <v>#VALUE!</v>
      </c>
      <c r="K61" s="1202"/>
      <c r="L61" s="5" t="s">
        <v>121</v>
      </c>
      <c r="M61" s="5"/>
      <c r="N61" s="5"/>
      <c r="O61" s="5"/>
      <c r="P61" s="42"/>
      <c r="Q61" s="2"/>
      <c r="R61" s="2"/>
      <c r="T61" s="2"/>
      <c r="U61" s="2"/>
      <c r="V61" s="2"/>
      <c r="W61" s="2"/>
      <c r="X61" s="2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100000000000001" customHeight="1">
      <c r="A62" s="6"/>
      <c r="B62" s="42"/>
      <c r="C62" s="364" t="s">
        <v>107</v>
      </c>
      <c r="D62" s="5" t="s">
        <v>108</v>
      </c>
      <c r="E62" s="5"/>
      <c r="F62" s="5"/>
      <c r="G62" s="5"/>
      <c r="H62" s="5" t="s">
        <v>122</v>
      </c>
      <c r="I62" s="5"/>
      <c r="J62" s="5"/>
      <c r="K62" s="5"/>
      <c r="L62" s="5" t="s">
        <v>110</v>
      </c>
      <c r="M62" s="1202" t="e">
        <f>ROUND(SQRT(12*I60)+20,0)</f>
        <v>#VALUE!</v>
      </c>
      <c r="N62" s="1202"/>
      <c r="O62" s="5"/>
      <c r="P62" s="42"/>
      <c r="Q62" s="2"/>
      <c r="R62" s="2"/>
      <c r="T62" s="2"/>
      <c r="U62" s="2"/>
      <c r="V62" s="2"/>
      <c r="W62" s="2"/>
      <c r="X62" s="2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100000000000001" customHeight="1">
      <c r="A63" s="6"/>
      <c r="B63" s="42"/>
      <c r="C63" s="364" t="s">
        <v>107</v>
      </c>
      <c r="D63" s="5" t="s">
        <v>123</v>
      </c>
      <c r="E63" s="5"/>
      <c r="F63" s="5"/>
      <c r="G63" s="5"/>
      <c r="H63" s="5" t="s">
        <v>124</v>
      </c>
      <c r="I63" s="5"/>
      <c r="J63" s="5"/>
      <c r="K63" s="5"/>
      <c r="L63" s="5" t="s">
        <v>110</v>
      </c>
      <c r="M63" s="1202" t="e">
        <f>ROUND(0.25*I60+32.5,0)</f>
        <v>#VALUE!</v>
      </c>
      <c r="N63" s="1202"/>
      <c r="O63" s="5"/>
      <c r="P63" s="42"/>
      <c r="Q63" s="2"/>
      <c r="R63" s="2"/>
      <c r="T63" s="2"/>
      <c r="U63" s="2"/>
      <c r="V63" s="2"/>
      <c r="W63" s="2"/>
      <c r="X63" s="2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100000000000001" customHeight="1">
      <c r="A64" s="6"/>
      <c r="B64" s="42"/>
      <c r="C64" s="364" t="s">
        <v>107</v>
      </c>
      <c r="D64" s="5" t="s">
        <v>125</v>
      </c>
      <c r="E64" s="5"/>
      <c r="F64" s="5"/>
      <c r="G64" s="5"/>
      <c r="H64" s="5" t="s">
        <v>126</v>
      </c>
      <c r="I64" s="5"/>
      <c r="J64" s="5"/>
      <c r="K64" s="5"/>
      <c r="L64" s="5" t="s">
        <v>110</v>
      </c>
      <c r="M64" s="1202" t="e">
        <f>ROUND(0.3*I60+27,0)</f>
        <v>#VALUE!</v>
      </c>
      <c r="N64" s="1202"/>
      <c r="O64" s="5"/>
      <c r="P64" s="42"/>
      <c r="Q64" s="2"/>
      <c r="R64" s="2"/>
      <c r="T64" s="2"/>
      <c r="U64" s="2"/>
      <c r="V64" s="2"/>
      <c r="W64" s="2"/>
      <c r="X64" s="2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100000000000001" customHeight="1">
      <c r="A65" s="6"/>
      <c r="B65" s="42"/>
      <c r="C65" s="364" t="s">
        <v>107</v>
      </c>
      <c r="D65" s="5" t="s">
        <v>114</v>
      </c>
      <c r="E65" s="5"/>
      <c r="F65" s="5"/>
      <c r="G65" s="5"/>
      <c r="H65" s="5" t="s">
        <v>127</v>
      </c>
      <c r="I65" s="5"/>
      <c r="J65" s="5"/>
      <c r="K65" s="5"/>
      <c r="L65" s="5" t="s">
        <v>110</v>
      </c>
      <c r="M65" s="1202" t="e">
        <f>ROUND(SQRT(20*I60)+15,0)</f>
        <v>#VALUE!</v>
      </c>
      <c r="N65" s="1202"/>
      <c r="O65" s="5"/>
      <c r="P65" s="42"/>
      <c r="Q65" s="2"/>
      <c r="R65" s="2"/>
      <c r="T65" s="2"/>
      <c r="U65" s="2"/>
      <c r="V65" s="2"/>
      <c r="W65" s="2"/>
      <c r="X65" s="2"/>
      <c r="Y65" s="77"/>
      <c r="Z65" s="99"/>
      <c r="AA65" s="99"/>
      <c r="AB65" s="9"/>
      <c r="AC65" s="119"/>
      <c r="AD65" s="120"/>
      <c r="AE65" s="120"/>
      <c r="AF65" s="120"/>
      <c r="AG65" s="77"/>
      <c r="AH65" s="77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X65" s="3"/>
      <c r="AY65" s="3"/>
      <c r="BC65" s="5"/>
      <c r="BD65" s="5"/>
    </row>
    <row r="66" spans="1:56" ht="17.100000000000001" customHeight="1">
      <c r="A66" s="6"/>
      <c r="B66" s="42"/>
      <c r="C66" s="364" t="s">
        <v>107</v>
      </c>
      <c r="D66" s="5" t="s">
        <v>128</v>
      </c>
      <c r="E66" s="5"/>
      <c r="F66" s="5"/>
      <c r="G66" s="5"/>
      <c r="H66" s="5" t="s">
        <v>129</v>
      </c>
      <c r="I66" s="5"/>
      <c r="J66" s="5"/>
      <c r="K66" s="5"/>
      <c r="L66" s="5" t="s">
        <v>110</v>
      </c>
      <c r="M66" s="1202" t="e">
        <f>ROUND(SQRT(15*I60)+15,0)</f>
        <v>#VALUE!</v>
      </c>
      <c r="N66" s="1202"/>
      <c r="O66" s="5"/>
      <c r="P66" s="42"/>
      <c r="Q66" s="2"/>
      <c r="R66" s="2"/>
      <c r="T66" s="2"/>
      <c r="U66" s="2"/>
      <c r="V66" s="2"/>
      <c r="W66" s="2"/>
      <c r="X66" s="2"/>
      <c r="Y66" s="77"/>
      <c r="Z66" s="99"/>
      <c r="AA66" s="99"/>
      <c r="AB66" s="9"/>
      <c r="AC66" s="119"/>
      <c r="AD66" s="120"/>
      <c r="AE66" s="120"/>
      <c r="AF66" s="120"/>
      <c r="AG66" s="77"/>
      <c r="AH66" s="77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X66" s="3"/>
      <c r="AY66" s="3"/>
      <c r="BC66" s="5"/>
      <c r="BD66" s="5"/>
    </row>
    <row r="67" spans="1:56" ht="17.100000000000001" customHeight="1">
      <c r="A67" s="6"/>
      <c r="C67" s="1065" t="str">
        <f>C50</f>
        <v>매립층</v>
      </c>
      <c r="D67" s="1065"/>
      <c r="E67" s="5" t="s">
        <v>577</v>
      </c>
      <c r="F67" s="5"/>
      <c r="G67" s="5"/>
      <c r="H67" s="5"/>
      <c r="I67" s="5"/>
      <c r="J67" s="5" t="s">
        <v>103</v>
      </c>
      <c r="K67" s="1202" t="e">
        <f>+MIN(M62:N66)</f>
        <v>#VALUE!</v>
      </c>
      <c r="L67" s="1202"/>
      <c r="M67" s="477" t="s">
        <v>131</v>
      </c>
      <c r="N67" s="364"/>
      <c r="O67" s="5"/>
      <c r="P67" s="42" t="s">
        <v>578</v>
      </c>
      <c r="Q67" s="2"/>
      <c r="R67" s="2">
        <f>P14</f>
        <v>21</v>
      </c>
      <c r="S67" s="3" t="s">
        <v>579</v>
      </c>
      <c r="T67" s="2"/>
      <c r="U67" s="2"/>
      <c r="V67" s="2"/>
      <c r="W67" s="2"/>
      <c r="X67" s="2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X67" s="3"/>
      <c r="AY67" s="3"/>
      <c r="BC67" s="5"/>
      <c r="BD67" s="5"/>
    </row>
    <row r="68" spans="1:56" ht="17.100000000000001" customHeight="1">
      <c r="A68" s="6"/>
      <c r="C68" s="5"/>
      <c r="D68" s="5"/>
      <c r="E68" s="5"/>
      <c r="F68" s="5"/>
      <c r="H68" s="364"/>
      <c r="I68" s="364"/>
      <c r="J68" s="364"/>
      <c r="K68" s="480"/>
      <c r="L68" s="480"/>
      <c r="M68" s="480"/>
      <c r="N68" s="480"/>
      <c r="O68" s="480"/>
      <c r="P68" s="5"/>
      <c r="T68" s="2"/>
      <c r="U68" s="2"/>
      <c r="V68" s="2"/>
      <c r="W68" s="2"/>
      <c r="X68" s="2"/>
      <c r="Y68" s="77"/>
      <c r="Z68" s="99"/>
      <c r="AA68" s="99"/>
      <c r="AB68" s="9"/>
      <c r="AC68" s="119"/>
      <c r="AD68" s="120"/>
      <c r="AE68" s="120"/>
      <c r="AF68" s="84"/>
      <c r="AG68" s="84"/>
      <c r="AH68" s="84"/>
      <c r="AI68" s="84"/>
      <c r="AJ68" s="85"/>
      <c r="AK68" s="86"/>
      <c r="AL68" s="86"/>
      <c r="AM68" s="86"/>
      <c r="AN68" s="595"/>
      <c r="AO68" s="595"/>
      <c r="AP68" s="595"/>
      <c r="AQ68" s="595"/>
      <c r="AR68" s="595"/>
      <c r="AS68" s="85"/>
      <c r="AT68" s="85"/>
      <c r="AX68" s="3"/>
      <c r="AY68" s="3"/>
      <c r="BC68" s="5"/>
      <c r="BD68" s="5"/>
    </row>
    <row r="69" spans="1:56" ht="17.100000000000001" customHeight="1">
      <c r="A69" s="6"/>
      <c r="C69" s="5" t="s">
        <v>102</v>
      </c>
      <c r="D69" s="5"/>
      <c r="E69" s="5"/>
      <c r="F69" s="5"/>
      <c r="H69" s="364" t="s">
        <v>103</v>
      </c>
      <c r="I69" s="511" t="str">
        <f>I52</f>
        <v>O</v>
      </c>
      <c r="J69" s="364"/>
      <c r="K69" s="1208" t="s">
        <v>104</v>
      </c>
      <c r="L69" s="1208"/>
      <c r="M69" s="1208"/>
      <c r="N69" s="1208"/>
      <c r="O69" s="1208"/>
      <c r="P69" s="5"/>
      <c r="T69" s="2"/>
      <c r="U69" s="2"/>
      <c r="V69" s="2"/>
      <c r="W69" s="2"/>
      <c r="X69" s="2"/>
      <c r="Y69" s="77"/>
      <c r="Z69" s="99"/>
      <c r="AA69" s="99"/>
      <c r="AB69" s="9"/>
      <c r="AC69" s="119"/>
      <c r="AD69" s="120"/>
      <c r="AE69" s="120"/>
      <c r="AF69" s="84"/>
      <c r="AG69" s="84"/>
      <c r="AH69" s="84"/>
      <c r="AI69" s="84"/>
      <c r="AJ69" s="85"/>
      <c r="AK69" s="86"/>
      <c r="AL69" s="86"/>
      <c r="AM69" s="86"/>
      <c r="AN69" s="595"/>
      <c r="AO69" s="595"/>
      <c r="AP69" s="595"/>
      <c r="AQ69" s="595"/>
      <c r="AR69" s="59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17.100000000000001" customHeight="1">
      <c r="A70" s="6"/>
      <c r="B70" s="476" t="s">
        <v>101</v>
      </c>
      <c r="C70" s="5" t="s">
        <v>120</v>
      </c>
      <c r="D70" s="5"/>
      <c r="E70" s="5"/>
      <c r="F70" s="5"/>
      <c r="G70" s="5"/>
      <c r="H70" s="5"/>
      <c r="I70" s="364" t="s">
        <v>103</v>
      </c>
      <c r="J70" s="1202" t="e">
        <f>MIN(M71:N75)</f>
        <v>#VALUE!</v>
      </c>
      <c r="K70" s="1202"/>
      <c r="L70" s="5" t="s">
        <v>121</v>
      </c>
      <c r="M70" s="5"/>
      <c r="N70" s="5"/>
      <c r="O70" s="5"/>
      <c r="P70" s="5"/>
      <c r="T70" s="2"/>
      <c r="U70" s="2"/>
      <c r="V70" s="2"/>
      <c r="W70" s="2"/>
      <c r="X70" s="2"/>
      <c r="Y70" s="77"/>
      <c r="Z70" s="99"/>
      <c r="AA70" s="99"/>
      <c r="AB70" s="9"/>
      <c r="AC70" s="119"/>
      <c r="AD70" s="120"/>
      <c r="AE70" s="80"/>
      <c r="AF70" s="84"/>
      <c r="AG70" s="84"/>
      <c r="AH70" s="84"/>
      <c r="AI70" s="84"/>
      <c r="AJ70" s="84"/>
      <c r="AK70" s="84"/>
      <c r="AL70" s="86"/>
      <c r="AM70" s="84"/>
      <c r="AN70" s="84"/>
      <c r="AO70" s="84"/>
      <c r="AP70" s="84"/>
      <c r="AQ70" s="84"/>
      <c r="AR70" s="84"/>
      <c r="AS70" s="84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17.100000000000001" customHeight="1">
      <c r="A71" s="6"/>
      <c r="B71" s="42"/>
      <c r="C71" s="364" t="s">
        <v>107</v>
      </c>
      <c r="D71" s="5" t="s">
        <v>108</v>
      </c>
      <c r="E71" s="5"/>
      <c r="F71" s="5"/>
      <c r="G71" s="5"/>
      <c r="H71" s="5" t="s">
        <v>122</v>
      </c>
      <c r="I71" s="5"/>
      <c r="J71" s="5"/>
      <c r="K71" s="5"/>
      <c r="L71" s="5" t="s">
        <v>110</v>
      </c>
      <c r="M71" s="1202" t="e">
        <f>ROUND(SQRT(12*I69)+20,0)</f>
        <v>#VALUE!</v>
      </c>
      <c r="N71" s="1202"/>
      <c r="O71" s="5"/>
      <c r="P71" s="5"/>
      <c r="T71" s="2"/>
      <c r="U71" s="2"/>
      <c r="V71" s="2"/>
      <c r="W71" s="2"/>
      <c r="X71" s="2"/>
      <c r="Y71" s="77"/>
      <c r="Z71" s="99"/>
      <c r="AA71" s="99"/>
      <c r="AB71" s="9"/>
      <c r="AC71" s="119"/>
      <c r="AD71" s="120"/>
      <c r="AE71" s="81"/>
      <c r="AF71" s="86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7.100000000000001" customHeight="1">
      <c r="A72" s="6"/>
      <c r="B72" s="42"/>
      <c r="C72" s="364" t="s">
        <v>107</v>
      </c>
      <c r="D72" s="5" t="s">
        <v>123</v>
      </c>
      <c r="E72" s="5"/>
      <c r="F72" s="5"/>
      <c r="G72" s="5"/>
      <c r="H72" s="5" t="s">
        <v>124</v>
      </c>
      <c r="I72" s="5"/>
      <c r="J72" s="5"/>
      <c r="K72" s="5"/>
      <c r="L72" s="5" t="s">
        <v>110</v>
      </c>
      <c r="M72" s="1202" t="e">
        <f>ROUND(0.25*I69+32.5,0)</f>
        <v>#VALUE!</v>
      </c>
      <c r="N72" s="1202"/>
      <c r="O72" s="5"/>
      <c r="P72" s="5"/>
      <c r="T72" s="2"/>
      <c r="U72" s="2"/>
      <c r="V72" s="2"/>
      <c r="W72" s="2"/>
      <c r="X72" s="2"/>
      <c r="Y72" s="77"/>
      <c r="Z72" s="99"/>
      <c r="AA72" s="99"/>
      <c r="AB72" s="9"/>
      <c r="AC72" s="119"/>
      <c r="AD72" s="120"/>
      <c r="AE72" s="81"/>
      <c r="AF72" s="86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100000000000001" customHeight="1">
      <c r="A73" s="6"/>
      <c r="B73" s="42"/>
      <c r="C73" s="364" t="s">
        <v>107</v>
      </c>
      <c r="D73" s="5" t="s">
        <v>125</v>
      </c>
      <c r="E73" s="5"/>
      <c r="F73" s="5"/>
      <c r="G73" s="5"/>
      <c r="H73" s="5" t="s">
        <v>126</v>
      </c>
      <c r="I73" s="5"/>
      <c r="J73" s="5"/>
      <c r="K73" s="5"/>
      <c r="L73" s="5" t="s">
        <v>110</v>
      </c>
      <c r="M73" s="1202" t="e">
        <f>ROUND(0.3*I69+27,0)</f>
        <v>#VALUE!</v>
      </c>
      <c r="N73" s="1202"/>
      <c r="O73" s="5"/>
      <c r="P73" s="5"/>
      <c r="T73" s="2"/>
      <c r="U73" s="2"/>
      <c r="V73" s="2"/>
      <c r="W73" s="2"/>
      <c r="X73" s="2"/>
      <c r="Y73" s="77"/>
      <c r="Z73" s="99"/>
      <c r="AA73" s="99"/>
      <c r="AB73" s="9"/>
      <c r="AC73" s="119"/>
      <c r="AD73" s="120"/>
      <c r="AE73" s="81"/>
      <c r="AF73" s="86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17.100000000000001" customHeight="1">
      <c r="A74" s="6"/>
      <c r="B74" s="42"/>
      <c r="C74" s="364" t="s">
        <v>107</v>
      </c>
      <c r="D74" s="5" t="s">
        <v>114</v>
      </c>
      <c r="E74" s="5"/>
      <c r="F74" s="5"/>
      <c r="G74" s="5"/>
      <c r="H74" s="5" t="s">
        <v>127</v>
      </c>
      <c r="I74" s="5"/>
      <c r="J74" s="5"/>
      <c r="K74" s="5"/>
      <c r="L74" s="5" t="s">
        <v>110</v>
      </c>
      <c r="M74" s="1202" t="e">
        <f>ROUND(SQRT(20*I69)+15,0)</f>
        <v>#VALUE!</v>
      </c>
      <c r="N74" s="1202"/>
      <c r="O74" s="5"/>
      <c r="P74" s="42"/>
      <c r="Q74" s="2"/>
      <c r="R74" s="2"/>
      <c r="S74" s="2"/>
      <c r="T74" s="2"/>
      <c r="U74" s="2"/>
      <c r="V74" s="2"/>
      <c r="W74" s="2"/>
      <c r="X74" s="2"/>
      <c r="Y74" s="77"/>
      <c r="Z74" s="99"/>
      <c r="AA74" s="99"/>
      <c r="AB74" s="9"/>
      <c r="AC74" s="119"/>
      <c r="AD74" s="120"/>
      <c r="AE74" s="81"/>
      <c r="AF74" s="86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100000000000001" customHeight="1">
      <c r="A75" s="6"/>
      <c r="B75" s="42"/>
      <c r="C75" s="364" t="s">
        <v>107</v>
      </c>
      <c r="D75" s="5" t="s">
        <v>128</v>
      </c>
      <c r="E75" s="5"/>
      <c r="F75" s="5"/>
      <c r="G75" s="5"/>
      <c r="H75" s="5" t="s">
        <v>129</v>
      </c>
      <c r="I75" s="5"/>
      <c r="J75" s="5"/>
      <c r="K75" s="5"/>
      <c r="L75" s="5" t="s">
        <v>110</v>
      </c>
      <c r="M75" s="1202" t="e">
        <f>ROUND(SQRT(15*I69)+15,0)</f>
        <v>#VALUE!</v>
      </c>
      <c r="N75" s="1202"/>
      <c r="O75" s="5"/>
      <c r="P75" s="42"/>
      <c r="Q75" s="2"/>
      <c r="R75" s="2"/>
      <c r="S75" s="2"/>
      <c r="T75" s="2"/>
      <c r="U75" s="2"/>
      <c r="V75" s="2"/>
      <c r="W75" s="2"/>
      <c r="X75" s="2"/>
      <c r="Y75" s="77"/>
      <c r="Z75" s="99"/>
      <c r="AA75" s="99"/>
      <c r="AB75" s="2"/>
      <c r="AC75" s="119"/>
      <c r="AD75" s="120"/>
      <c r="AE75" s="81"/>
      <c r="AF75" s="86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17.100000000000001" customHeight="1">
      <c r="A76" s="6"/>
      <c r="C76" s="1065" t="str">
        <f>C57</f>
        <v>퇴적층</v>
      </c>
      <c r="D76" s="1065"/>
      <c r="E76" s="5" t="s">
        <v>577</v>
      </c>
      <c r="F76" s="5"/>
      <c r="G76" s="5"/>
      <c r="H76" s="5"/>
      <c r="I76" s="5"/>
      <c r="J76" s="5" t="s">
        <v>103</v>
      </c>
      <c r="K76" s="1202" t="e">
        <f>+MIN(M71:N75)</f>
        <v>#VALUE!</v>
      </c>
      <c r="L76" s="1202"/>
      <c r="M76" s="477" t="s">
        <v>131</v>
      </c>
      <c r="N76" s="364"/>
      <c r="O76" s="5"/>
      <c r="P76" s="42" t="s">
        <v>578</v>
      </c>
      <c r="Q76" s="2"/>
      <c r="R76" s="2">
        <f>P15</f>
        <v>23</v>
      </c>
      <c r="S76" s="3" t="s">
        <v>579</v>
      </c>
      <c r="T76" s="2"/>
      <c r="U76" s="2"/>
      <c r="V76" s="2"/>
      <c r="W76" s="2"/>
      <c r="X76" s="2"/>
      <c r="Y76" s="77"/>
      <c r="Z76" s="99"/>
      <c r="AA76" s="99"/>
      <c r="AB76" s="2"/>
      <c r="AC76" s="119"/>
      <c r="AD76" s="120"/>
      <c r="AE76" s="85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121"/>
      <c r="AQ76" s="86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17.100000000000001" customHeight="1">
      <c r="A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477"/>
      <c r="N77" s="364"/>
      <c r="O77" s="5"/>
      <c r="P77" s="42"/>
      <c r="Q77" s="2"/>
      <c r="R77" s="2"/>
      <c r="S77" s="2"/>
      <c r="T77" s="2"/>
      <c r="U77" s="2"/>
      <c r="V77" s="2"/>
      <c r="W77" s="2"/>
      <c r="X77" s="2"/>
      <c r="Y77" s="77"/>
      <c r="Z77" s="99"/>
      <c r="AA77" s="99"/>
      <c r="AB77" s="2"/>
      <c r="AC77" s="119"/>
      <c r="AD77" s="120"/>
      <c r="AE77" s="120"/>
      <c r="AF77" s="120"/>
      <c r="AG77" s="77"/>
      <c r="AH77" s="77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17.100000000000001" customHeight="1">
      <c r="A78" s="6"/>
      <c r="B78" s="159" t="s">
        <v>137</v>
      </c>
      <c r="C78" s="3" t="s">
        <v>398</v>
      </c>
      <c r="D78" s="42"/>
      <c r="E78" s="42"/>
      <c r="F78" s="42"/>
      <c r="G78" s="42"/>
      <c r="H78" s="42"/>
      <c r="I78" s="42"/>
      <c r="J78" s="42"/>
      <c r="K78" s="42"/>
      <c r="L78" s="474"/>
      <c r="M78" s="475"/>
      <c r="N78" s="476"/>
      <c r="O78" s="42"/>
      <c r="P78" s="42"/>
      <c r="Q78" s="2"/>
      <c r="R78" s="2"/>
      <c r="S78" s="2"/>
      <c r="T78" s="2"/>
      <c r="U78" s="470"/>
      <c r="V78" s="470"/>
      <c r="W78" s="2"/>
      <c r="X78" s="471"/>
      <c r="Y78" s="120"/>
      <c r="Z78" s="120"/>
      <c r="AA78" s="120"/>
      <c r="AB78" s="2"/>
      <c r="AC78" s="7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17.100000000000001" customHeight="1">
      <c r="A79" s="6"/>
      <c r="B79" s="476" t="s">
        <v>101</v>
      </c>
      <c r="C79" s="42" t="s">
        <v>399</v>
      </c>
      <c r="D79" s="42"/>
      <c r="E79" s="42"/>
      <c r="F79" s="42"/>
      <c r="G79" s="42"/>
      <c r="H79" s="42"/>
      <c r="I79" s="42"/>
      <c r="J79" s="42" t="s">
        <v>580</v>
      </c>
      <c r="K79" s="42"/>
      <c r="M79" s="475"/>
      <c r="N79" s="476"/>
      <c r="O79" s="42"/>
      <c r="P79" s="42"/>
      <c r="Q79" s="2"/>
      <c r="R79" s="2"/>
      <c r="S79" s="2"/>
      <c r="T79" s="2"/>
      <c r="U79" s="470"/>
      <c r="V79" s="470"/>
      <c r="W79" s="2"/>
      <c r="X79" s="471"/>
      <c r="Y79" s="120"/>
      <c r="Z79" s="120"/>
      <c r="AA79" s="120"/>
      <c r="AB79" s="2"/>
      <c r="AC79" s="77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17.100000000000001" customHeight="1">
      <c r="A80" s="6"/>
      <c r="C80" s="42"/>
      <c r="D80" s="42"/>
      <c r="E80" s="42"/>
      <c r="F80" s="42"/>
      <c r="G80" s="42"/>
      <c r="H80" s="42"/>
      <c r="I80" s="42"/>
      <c r="J80" s="42" t="s">
        <v>821</v>
      </c>
      <c r="K80" s="42"/>
      <c r="L80" s="474"/>
      <c r="M80" s="475"/>
      <c r="N80" s="476"/>
      <c r="O80" s="42"/>
      <c r="P80" s="42"/>
      <c r="Q80" s="2"/>
      <c r="R80" s="2"/>
      <c r="S80" s="2"/>
      <c r="T80" s="2"/>
      <c r="U80" s="470"/>
      <c r="V80" s="470"/>
      <c r="W80" s="2"/>
      <c r="X80" s="471"/>
      <c r="Y80" s="120"/>
      <c r="Z80" s="120"/>
      <c r="AA80" s="120"/>
      <c r="AC80" s="9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6" ht="17.100000000000001" customHeight="1">
      <c r="A81" s="6"/>
      <c r="C81" s="42"/>
      <c r="D81" s="42"/>
      <c r="E81" s="42"/>
      <c r="F81" s="42"/>
      <c r="G81" s="42"/>
      <c r="H81" s="42"/>
      <c r="I81" s="42"/>
      <c r="J81" s="42"/>
      <c r="K81" s="42"/>
      <c r="L81" s="474"/>
      <c r="M81" s="475"/>
      <c r="N81" s="476"/>
      <c r="O81" s="42"/>
      <c r="P81" s="42"/>
      <c r="Q81" s="2"/>
      <c r="R81" s="2"/>
      <c r="S81" s="2"/>
      <c r="T81" s="2"/>
      <c r="U81" s="470"/>
      <c r="V81" s="470"/>
      <c r="W81" s="2"/>
      <c r="X81" s="471"/>
      <c r="Y81" s="120"/>
      <c r="Z81" s="120"/>
      <c r="AA81" s="120"/>
      <c r="AB81" s="9"/>
      <c r="AC81" s="9"/>
      <c r="AU81" s="85"/>
      <c r="AV81" s="85"/>
      <c r="AW81" s="85"/>
      <c r="AX81" s="85"/>
      <c r="AY81" s="85"/>
      <c r="AZ81" s="85"/>
      <c r="BA81" s="85"/>
      <c r="BB81" s="85"/>
      <c r="BC81" s="5"/>
      <c r="BD81" s="5"/>
    </row>
    <row r="82" spans="1:56" ht="17.100000000000001" customHeight="1">
      <c r="A82" s="6"/>
      <c r="B82" s="76" t="s">
        <v>140</v>
      </c>
      <c r="C82" s="73" t="s">
        <v>141</v>
      </c>
      <c r="D82" s="76"/>
      <c r="E82" s="76"/>
      <c r="F82" s="6"/>
      <c r="G82" s="74"/>
      <c r="H82" s="74"/>
      <c r="I82" s="74"/>
      <c r="J82" s="73"/>
      <c r="K82" s="73"/>
      <c r="L82" s="76"/>
      <c r="M82" s="76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119"/>
      <c r="Y82" s="129"/>
      <c r="Z82" s="129"/>
      <c r="AA82" s="129"/>
      <c r="AB82" s="9"/>
      <c r="AC82" s="9"/>
      <c r="AU82" s="85"/>
      <c r="AV82" s="85"/>
      <c r="AW82" s="85"/>
      <c r="AX82" s="125"/>
      <c r="AY82" s="125"/>
      <c r="AZ82" s="85"/>
      <c r="BA82" s="85"/>
      <c r="BB82" s="85"/>
    </row>
    <row r="83" spans="1:56" ht="17.100000000000001" customHeight="1">
      <c r="A83" s="130"/>
      <c r="B83" s="131" t="s">
        <v>667</v>
      </c>
      <c r="C83" s="85"/>
      <c r="D83" s="85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85"/>
      <c r="AA83" s="85"/>
      <c r="AB83" s="9"/>
      <c r="AC83" s="9"/>
      <c r="AU83" s="85"/>
      <c r="AV83" s="85"/>
      <c r="AW83" s="85"/>
      <c r="AX83" s="125"/>
      <c r="AY83" s="125"/>
      <c r="AZ83" s="85"/>
      <c r="BA83" s="85"/>
      <c r="BB83" s="85"/>
    </row>
    <row r="84" spans="1:56" ht="17.100000000000001" customHeight="1">
      <c r="A84" s="130"/>
      <c r="B84" s="1243" t="s">
        <v>143</v>
      </c>
      <c r="C84" s="1243"/>
      <c r="D84" s="1244"/>
      <c r="E84" s="1245" t="s">
        <v>144</v>
      </c>
      <c r="F84" s="1246"/>
      <c r="G84" s="1246"/>
      <c r="H84" s="1246"/>
      <c r="I84" s="1247"/>
      <c r="J84" s="1245" t="s">
        <v>475</v>
      </c>
      <c r="K84" s="1246"/>
      <c r="L84" s="1246"/>
      <c r="M84" s="1246"/>
      <c r="N84" s="1247"/>
      <c r="O84" s="1248" t="s">
        <v>146</v>
      </c>
      <c r="P84" s="1249"/>
      <c r="Q84" s="1249"/>
      <c r="R84" s="1249"/>
      <c r="S84" s="1249"/>
      <c r="T84" s="1250"/>
      <c r="U84" s="1248" t="s">
        <v>147</v>
      </c>
      <c r="V84" s="1249"/>
      <c r="W84" s="1249"/>
      <c r="X84" s="1249"/>
      <c r="Y84" s="1249"/>
      <c r="Z84" s="1249"/>
      <c r="AA84" s="85"/>
    </row>
    <row r="85" spans="1:56" ht="17.100000000000001" customHeight="1">
      <c r="A85" s="130"/>
      <c r="B85" s="1227" t="s">
        <v>527</v>
      </c>
      <c r="C85" s="1227"/>
      <c r="D85" s="1227"/>
      <c r="E85" s="1228" t="s">
        <v>523</v>
      </c>
      <c r="F85" s="1229"/>
      <c r="G85" s="1229"/>
      <c r="H85" s="1229"/>
      <c r="I85" s="1229"/>
      <c r="J85" s="1228" t="s">
        <v>526</v>
      </c>
      <c r="K85" s="1229"/>
      <c r="L85" s="1229"/>
      <c r="M85" s="1229"/>
      <c r="N85" s="1230"/>
      <c r="O85" s="1231" t="s">
        <v>532</v>
      </c>
      <c r="P85" s="1231"/>
      <c r="Q85" s="1231"/>
      <c r="R85" s="1231"/>
      <c r="S85" s="1231"/>
      <c r="T85" s="1232"/>
      <c r="U85" s="1236" t="s">
        <v>525</v>
      </c>
      <c r="V85" s="1231"/>
      <c r="W85" s="1231"/>
      <c r="X85" s="1231"/>
      <c r="Y85" s="1231"/>
      <c r="Z85" s="1231"/>
      <c r="AA85" s="85"/>
    </row>
    <row r="86" spans="1:56" ht="17.100000000000001" customHeight="1">
      <c r="A86" s="130"/>
      <c r="B86" s="1237" t="s">
        <v>56</v>
      </c>
      <c r="C86" s="1237"/>
      <c r="D86" s="1238"/>
      <c r="E86" s="1239"/>
      <c r="F86" s="1240"/>
      <c r="G86" s="1240"/>
      <c r="H86" s="1240"/>
      <c r="I86" s="1241"/>
      <c r="J86" s="1239"/>
      <c r="K86" s="1240"/>
      <c r="L86" s="1240"/>
      <c r="M86" s="1240"/>
      <c r="N86" s="1241"/>
      <c r="O86" s="1251" t="s">
        <v>533</v>
      </c>
      <c r="P86" s="1252"/>
      <c r="Q86" s="1252"/>
      <c r="R86" s="1252"/>
      <c r="S86" s="1252"/>
      <c r="T86" s="1253"/>
      <c r="U86" s="1251" t="s">
        <v>534</v>
      </c>
      <c r="V86" s="1252"/>
      <c r="W86" s="1252"/>
      <c r="X86" s="1252"/>
      <c r="Y86" s="1252"/>
      <c r="Z86" s="1252"/>
      <c r="AA86" s="85"/>
      <c r="AB86" s="2"/>
    </row>
    <row r="87" spans="1:56" ht="19.5" customHeight="1">
      <c r="A87" s="130"/>
      <c r="B87" s="130"/>
      <c r="C87" s="130"/>
      <c r="D87" s="130"/>
      <c r="E87" s="133"/>
      <c r="F87" s="130"/>
      <c r="G87" s="130"/>
      <c r="H87" s="130"/>
      <c r="I87" s="130"/>
      <c r="J87" s="133"/>
      <c r="K87" s="130"/>
      <c r="L87" s="130"/>
      <c r="M87" s="130"/>
      <c r="N87" s="130"/>
      <c r="O87" s="134"/>
      <c r="P87" s="134"/>
      <c r="Q87" s="134"/>
      <c r="R87" s="135"/>
      <c r="S87" s="133"/>
      <c r="T87" s="133"/>
      <c r="U87" s="133"/>
      <c r="V87" s="135"/>
      <c r="W87" s="133"/>
      <c r="X87" s="133"/>
      <c r="Y87" s="133"/>
      <c r="Z87" s="133"/>
      <c r="AA87" s="133"/>
      <c r="AB87" s="2"/>
      <c r="AC87" s="2"/>
    </row>
    <row r="88" spans="1:56" ht="19.5" customHeight="1">
      <c r="A88" s="6"/>
      <c r="B88" s="7" t="s">
        <v>397</v>
      </c>
      <c r="C88" s="6"/>
      <c r="D88" s="6"/>
      <c r="E88" s="6"/>
      <c r="F88" s="6"/>
      <c r="G88" s="74"/>
      <c r="H88" s="74"/>
      <c r="I88" s="74"/>
      <c r="J88" s="73"/>
      <c r="K88" s="73"/>
      <c r="L88" s="76"/>
      <c r="M88" s="76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119"/>
      <c r="Y88" s="129"/>
      <c r="Z88" s="129"/>
      <c r="AA88" s="129"/>
      <c r="AB88" s="2"/>
      <c r="AC88" s="2"/>
      <c r="AW88" s="5"/>
      <c r="AY88" s="3"/>
    </row>
    <row r="89" spans="1:56" ht="14.25" customHeight="1">
      <c r="A89" s="6"/>
      <c r="B89" s="74"/>
      <c r="C89" s="6"/>
      <c r="D89" s="6"/>
      <c r="E89" s="6"/>
      <c r="F89" s="6"/>
      <c r="G89" s="74"/>
      <c r="H89" s="74"/>
      <c r="I89" s="74"/>
      <c r="J89" s="73"/>
      <c r="K89" s="73"/>
      <c r="L89" s="76"/>
      <c r="M89" s="76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119"/>
      <c r="Y89" s="129"/>
      <c r="Z89" s="129"/>
      <c r="AA89" s="129"/>
      <c r="AB89" s="2"/>
      <c r="AC89" s="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W89" s="5"/>
      <c r="AY89" s="3"/>
    </row>
    <row r="90" spans="1:56" ht="17.100000000000001" customHeight="1">
      <c r="A90" s="6"/>
      <c r="B90" s="462" t="s">
        <v>155</v>
      </c>
      <c r="C90" s="495" t="s">
        <v>400</v>
      </c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129"/>
      <c r="AB90" s="2"/>
      <c r="AC90" s="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W90" s="5"/>
      <c r="AY90" s="3"/>
    </row>
    <row r="91" spans="1:56" ht="30" customHeight="1">
      <c r="A91" s="6"/>
      <c r="B91" s="1260" t="s">
        <v>143</v>
      </c>
      <c r="C91" s="1255"/>
      <c r="D91" s="1255"/>
      <c r="E91" s="1254" t="s">
        <v>490</v>
      </c>
      <c r="F91" s="1255"/>
      <c r="G91" s="1255"/>
      <c r="H91" s="1210" t="s">
        <v>488</v>
      </c>
      <c r="I91" s="1214"/>
      <c r="J91" s="1214"/>
      <c r="K91" s="1254" t="s">
        <v>563</v>
      </c>
      <c r="L91" s="1255"/>
      <c r="M91" s="1255"/>
      <c r="N91" s="1210" t="s">
        <v>562</v>
      </c>
      <c r="O91" s="1210"/>
      <c r="P91" s="1210"/>
      <c r="Q91" s="1210" t="s">
        <v>555</v>
      </c>
      <c r="R91" s="1210"/>
      <c r="S91" s="1210"/>
      <c r="T91" s="1210" t="s">
        <v>561</v>
      </c>
      <c r="U91" s="1210"/>
      <c r="V91" s="1210"/>
      <c r="W91" s="1210"/>
      <c r="X91" s="1214" t="s">
        <v>489</v>
      </c>
      <c r="Y91" s="1214"/>
      <c r="Z91" s="1215"/>
      <c r="AA91" s="129"/>
      <c r="AB91" s="2"/>
      <c r="AC91" s="2"/>
      <c r="AD91" s="452"/>
      <c r="AE91" s="452" t="s">
        <v>478</v>
      </c>
      <c r="AF91" s="452"/>
      <c r="AG91" s="452"/>
      <c r="AH91" s="452"/>
      <c r="AI91" s="452"/>
      <c r="AJ91" s="452"/>
      <c r="AK91" s="452"/>
      <c r="AL91" s="452"/>
      <c r="AM91" s="452"/>
      <c r="AN91" s="452"/>
      <c r="AO91" s="452"/>
      <c r="AP91" s="452"/>
      <c r="AQ91" s="452"/>
      <c r="AR91" s="452"/>
      <c r="AS91" s="452"/>
      <c r="AT91" s="452"/>
    </row>
    <row r="92" spans="1:56" ht="19.5" customHeight="1">
      <c r="A92" s="6"/>
      <c r="B92" s="1258" t="str">
        <f>AC1</f>
        <v>지상1층</v>
      </c>
      <c r="C92" s="1259"/>
      <c r="D92" s="1259"/>
      <c r="E92" s="878">
        <f>+F5</f>
        <v>1.85</v>
      </c>
      <c r="F92" s="878"/>
      <c r="G92" s="878"/>
      <c r="H92" s="877">
        <f>+J5</f>
        <v>2.5</v>
      </c>
      <c r="I92" s="877"/>
      <c r="J92" s="877"/>
      <c r="K92" s="878">
        <f>+N5</f>
        <v>1.1599999999999999</v>
      </c>
      <c r="L92" s="878"/>
      <c r="M92" s="878"/>
      <c r="N92" s="877">
        <f>+R5</f>
        <v>150</v>
      </c>
      <c r="O92" s="877"/>
      <c r="P92" s="877"/>
      <c r="Q92" s="877">
        <v>45</v>
      </c>
      <c r="R92" s="877"/>
      <c r="S92" s="877"/>
      <c r="T92" s="1211">
        <v>600</v>
      </c>
      <c r="U92" s="1211"/>
      <c r="V92" s="1211"/>
      <c r="W92" s="1211"/>
      <c r="X92" s="1212">
        <v>1</v>
      </c>
      <c r="Y92" s="1212"/>
      <c r="Z92" s="1213"/>
      <c r="AA92" s="129"/>
      <c r="AB92" s="2"/>
      <c r="AC92" s="2"/>
      <c r="AD92" s="452"/>
      <c r="AE92" s="452"/>
      <c r="AF92" s="452"/>
      <c r="AG92" s="452"/>
      <c r="AH92" s="452"/>
      <c r="AI92" s="528">
        <f>+T92</f>
        <v>600</v>
      </c>
      <c r="AJ92" s="528">
        <f>+X92</f>
        <v>1</v>
      </c>
      <c r="AK92" s="452"/>
      <c r="AL92" s="452"/>
      <c r="AM92" s="452"/>
      <c r="AN92" s="452"/>
      <c r="AO92" s="452"/>
      <c r="AP92" s="452"/>
      <c r="AQ92" s="452"/>
      <c r="AR92" s="452"/>
      <c r="AS92" s="452"/>
      <c r="AT92" s="452"/>
    </row>
    <row r="93" spans="1:56" ht="17.25" customHeight="1">
      <c r="A93" s="6"/>
      <c r="B93" s="1258"/>
      <c r="C93" s="1259"/>
      <c r="D93" s="1259"/>
      <c r="E93" s="878"/>
      <c r="F93" s="878"/>
      <c r="G93" s="878"/>
      <c r="H93" s="877"/>
      <c r="I93" s="877"/>
      <c r="J93" s="877"/>
      <c r="K93" s="878"/>
      <c r="L93" s="878"/>
      <c r="M93" s="878"/>
      <c r="N93" s="877"/>
      <c r="O93" s="877"/>
      <c r="P93" s="877"/>
      <c r="Q93" s="877"/>
      <c r="R93" s="877"/>
      <c r="S93" s="877"/>
      <c r="T93" s="1211"/>
      <c r="U93" s="1211"/>
      <c r="V93" s="1211"/>
      <c r="W93" s="1211"/>
      <c r="X93" s="1212"/>
      <c r="Y93" s="1212"/>
      <c r="Z93" s="1213"/>
      <c r="AA93" s="129"/>
      <c r="AB93" s="2"/>
      <c r="AC93" s="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</row>
    <row r="94" spans="1:56" ht="14.25" customHeight="1">
      <c r="A94" s="6"/>
      <c r="B94" s="140"/>
      <c r="C94" s="140"/>
      <c r="D94" s="140"/>
      <c r="E94" s="140"/>
      <c r="F94" s="140"/>
      <c r="G94" s="140"/>
      <c r="H94" s="141"/>
      <c r="I94" s="141"/>
      <c r="J94" s="140"/>
      <c r="K94" s="140"/>
      <c r="L94" s="140"/>
      <c r="M94" s="140"/>
      <c r="N94" s="141"/>
      <c r="O94" s="141"/>
      <c r="P94" s="141"/>
      <c r="Q94" s="141"/>
      <c r="R94" s="141"/>
      <c r="S94" s="142"/>
      <c r="T94" s="142"/>
      <c r="U94" s="142"/>
      <c r="V94" s="142"/>
      <c r="W94" s="141"/>
      <c r="X94" s="141"/>
      <c r="Y94" s="141"/>
      <c r="Z94" s="141"/>
      <c r="AA94" s="129"/>
      <c r="AB94" s="2"/>
      <c r="AC94" s="2"/>
      <c r="AD94" s="452"/>
      <c r="AE94" s="452"/>
      <c r="AF94" s="452"/>
      <c r="AG94" s="452"/>
      <c r="AH94" s="452"/>
      <c r="AI94" s="452"/>
      <c r="AJ94" s="452"/>
      <c r="AK94" s="452"/>
      <c r="AL94" s="452"/>
      <c r="AM94" s="452"/>
      <c r="AN94" s="452"/>
      <c r="AO94" s="452"/>
      <c r="AP94" s="452"/>
      <c r="AQ94" s="452"/>
      <c r="AR94" s="452"/>
      <c r="AS94" s="452"/>
      <c r="AT94" s="452"/>
    </row>
    <row r="95" spans="1:56" ht="17.25" customHeight="1">
      <c r="A95" s="6"/>
      <c r="B95" s="159" t="s">
        <v>166</v>
      </c>
      <c r="C95" s="96" t="s">
        <v>860</v>
      </c>
      <c r="D95" s="140"/>
      <c r="AA95" s="129"/>
      <c r="AB95" s="2"/>
      <c r="AC95" s="2"/>
      <c r="AD95" s="452"/>
      <c r="AE95" s="452"/>
      <c r="AF95" s="452"/>
      <c r="AG95" s="452"/>
      <c r="AH95" s="452"/>
      <c r="AI95" s="452"/>
      <c r="AJ95" s="452"/>
      <c r="AK95" s="452"/>
      <c r="AL95" s="452"/>
      <c r="AM95" s="452"/>
      <c r="AN95" s="452"/>
      <c r="AO95" s="452"/>
      <c r="AP95" s="452"/>
      <c r="AQ95" s="452"/>
      <c r="AR95" s="452"/>
      <c r="AS95" s="452"/>
      <c r="AT95" s="452"/>
    </row>
    <row r="96" spans="1:56" ht="17.25" customHeight="1">
      <c r="A96" s="6"/>
      <c r="B96" s="140"/>
      <c r="C96" s="140"/>
      <c r="D96" s="140"/>
      <c r="E96" s="140"/>
      <c r="F96" s="140"/>
      <c r="G96" s="140"/>
      <c r="H96" s="141"/>
      <c r="I96" s="141"/>
      <c r="J96" s="140"/>
      <c r="K96" s="140"/>
      <c r="L96" s="140"/>
      <c r="M96" s="140"/>
      <c r="N96" s="141"/>
      <c r="O96" s="141"/>
      <c r="P96" s="141"/>
      <c r="Q96" s="141"/>
      <c r="R96" s="141"/>
      <c r="S96" s="142"/>
      <c r="T96" s="142"/>
      <c r="U96" s="142"/>
      <c r="V96" s="142"/>
      <c r="W96" s="141"/>
      <c r="X96" s="141"/>
      <c r="Y96" s="141"/>
      <c r="Z96" s="141"/>
      <c r="AA96" s="129"/>
      <c r="AB96" s="2"/>
      <c r="AC96" s="2"/>
      <c r="AD96" s="452" t="s">
        <v>168</v>
      </c>
      <c r="AE96" s="452" t="s">
        <v>169</v>
      </c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</row>
    <row r="97" spans="1:51" ht="17.25" customHeight="1">
      <c r="A97" s="6"/>
      <c r="B97" s="140"/>
      <c r="C97" s="140"/>
      <c r="D97" s="880" t="s">
        <v>556</v>
      </c>
      <c r="E97" s="880" t="s">
        <v>557</v>
      </c>
      <c r="F97" s="880"/>
      <c r="G97" s="880"/>
      <c r="H97" s="880"/>
      <c r="I97" s="880"/>
      <c r="J97" s="579"/>
      <c r="K97" s="1234" t="s">
        <v>90</v>
      </c>
      <c r="L97" s="579"/>
      <c r="M97" s="880">
        <f>+N92</f>
        <v>150</v>
      </c>
      <c r="N97" s="880"/>
      <c r="O97" s="880"/>
      <c r="P97" s="580" t="s">
        <v>180</v>
      </c>
      <c r="Q97" s="1222">
        <f>+E92</f>
        <v>1.85</v>
      </c>
      <c r="R97" s="1222"/>
      <c r="S97" s="581" t="s">
        <v>180</v>
      </c>
      <c r="T97" s="1235">
        <f>+H92</f>
        <v>2.5</v>
      </c>
      <c r="U97" s="1235"/>
      <c r="V97" s="581"/>
      <c r="W97" s="1233" t="s">
        <v>90</v>
      </c>
      <c r="X97" s="1069">
        <f>ROUND(M97*Q97*T97/((L98+O98)*(R98+U98)),1)</f>
        <v>61.5</v>
      </c>
      <c r="Y97" s="1069"/>
      <c r="Z97" s="1069"/>
      <c r="AA97" s="129"/>
      <c r="AB97" s="2"/>
      <c r="AC97" s="2"/>
      <c r="AD97" s="452" t="s">
        <v>170</v>
      </c>
      <c r="AE97" s="452" t="s">
        <v>171</v>
      </c>
      <c r="AF97" s="452"/>
      <c r="AG97" s="452"/>
      <c r="AH97" s="452"/>
      <c r="AI97" s="452"/>
      <c r="AJ97" s="452"/>
      <c r="AK97" s="452"/>
      <c r="AL97" s="452"/>
      <c r="AM97" s="452"/>
      <c r="AN97" s="452"/>
      <c r="AO97" s="452"/>
      <c r="AP97" s="452"/>
      <c r="AQ97" s="452"/>
      <c r="AR97" s="452"/>
      <c r="AS97" s="452"/>
      <c r="AT97" s="452"/>
    </row>
    <row r="98" spans="1:51" ht="17.25" customHeight="1">
      <c r="A98" s="6"/>
      <c r="B98" s="140"/>
      <c r="C98" s="140"/>
      <c r="D98" s="880"/>
      <c r="E98" s="881" t="s">
        <v>571</v>
      </c>
      <c r="F98" s="881"/>
      <c r="G98" s="881"/>
      <c r="H98" s="881"/>
      <c r="I98" s="881"/>
      <c r="J98" s="579"/>
      <c r="K98" s="880"/>
      <c r="L98" s="1256">
        <f>+E92</f>
        <v>1.85</v>
      </c>
      <c r="M98" s="1256"/>
      <c r="N98" s="586" t="s">
        <v>248</v>
      </c>
      <c r="O98" s="1257">
        <f>+T100</f>
        <v>1.1999999999999997</v>
      </c>
      <c r="P98" s="1257"/>
      <c r="Q98" s="587" t="s">
        <v>180</v>
      </c>
      <c r="R98" s="1256">
        <f>+H92</f>
        <v>2.5</v>
      </c>
      <c r="S98" s="1256"/>
      <c r="T98" s="588" t="s">
        <v>248</v>
      </c>
      <c r="U98" s="1257">
        <f>IF(H92/E92&gt;6,0,T100)</f>
        <v>1.1999999999999997</v>
      </c>
      <c r="V98" s="1257"/>
      <c r="W98" s="879"/>
      <c r="X98" s="1069"/>
      <c r="Y98" s="1069"/>
      <c r="Z98" s="1069"/>
      <c r="AA98" s="129"/>
      <c r="AB98" s="2"/>
      <c r="AC98" s="2"/>
      <c r="AD98" s="774" t="s">
        <v>879</v>
      </c>
    </row>
    <row r="99" spans="1:51" ht="9.75" customHeight="1">
      <c r="A99" s="6"/>
      <c r="B99" s="140"/>
      <c r="C99" s="140"/>
      <c r="D99" s="579"/>
      <c r="E99" s="579"/>
      <c r="F99" s="579"/>
      <c r="G99" s="579"/>
      <c r="H99" s="579"/>
      <c r="I99" s="579"/>
      <c r="J99" s="579"/>
      <c r="K99" s="579"/>
      <c r="L99" s="602"/>
      <c r="M99" s="602"/>
      <c r="N99" s="601"/>
      <c r="O99" s="603"/>
      <c r="P99" s="603"/>
      <c r="Q99" s="580"/>
      <c r="R99" s="602"/>
      <c r="S99" s="602"/>
      <c r="T99" s="583"/>
      <c r="U99" s="603"/>
      <c r="V99" s="603"/>
      <c r="W99" s="580"/>
      <c r="X99" s="598"/>
      <c r="Y99" s="598"/>
      <c r="Z99" s="598"/>
      <c r="AA99" s="129"/>
      <c r="AB99" s="2"/>
      <c r="AC99" s="2"/>
      <c r="AF99" s="5"/>
      <c r="AG99" s="5"/>
    </row>
    <row r="100" spans="1:51" ht="17.25" customHeight="1">
      <c r="A100" s="6"/>
      <c r="B100" s="140"/>
      <c r="C100" s="140"/>
      <c r="D100" s="579"/>
      <c r="E100" s="579" t="s">
        <v>572</v>
      </c>
      <c r="F100" s="582" t="s">
        <v>90</v>
      </c>
      <c r="G100" s="584" t="s">
        <v>564</v>
      </c>
      <c r="H100" s="580"/>
      <c r="I100" s="580"/>
      <c r="J100" s="579"/>
      <c r="K100" s="582" t="s">
        <v>90</v>
      </c>
      <c r="L100" s="579">
        <v>2</v>
      </c>
      <c r="M100" s="579" t="s">
        <v>180</v>
      </c>
      <c r="N100" s="879">
        <f>+T92/1000</f>
        <v>0.6</v>
      </c>
      <c r="O100" s="879"/>
      <c r="P100" s="580" t="s">
        <v>180</v>
      </c>
      <c r="Q100" s="879">
        <f>+TAN(RADIANS(Q92))</f>
        <v>0.99999999999999989</v>
      </c>
      <c r="R100" s="879"/>
      <c r="S100" s="583" t="s">
        <v>90</v>
      </c>
      <c r="T100" s="1235">
        <f>+L100*N100*Q100</f>
        <v>1.1999999999999997</v>
      </c>
      <c r="U100" s="1235"/>
      <c r="V100" s="581"/>
      <c r="W100" s="580"/>
      <c r="AA100" s="129"/>
      <c r="AB100" s="2"/>
      <c r="AC100" s="2"/>
      <c r="AF100" s="5"/>
      <c r="AG100" s="5"/>
    </row>
    <row r="101" spans="1:51" ht="17.25" customHeight="1">
      <c r="A101" s="6"/>
      <c r="B101" s="140"/>
      <c r="C101" s="140"/>
      <c r="D101" s="579"/>
      <c r="E101" s="579"/>
      <c r="F101" s="582"/>
      <c r="G101" s="584"/>
      <c r="H101" s="580"/>
      <c r="I101" s="580"/>
      <c r="J101" s="579"/>
      <c r="K101" s="582"/>
      <c r="L101" s="579"/>
      <c r="M101" s="579"/>
      <c r="N101" s="580"/>
      <c r="O101" s="580"/>
      <c r="P101" s="580"/>
      <c r="Q101" s="580"/>
      <c r="R101" s="580"/>
      <c r="S101" s="583"/>
      <c r="T101" s="585"/>
      <c r="U101" s="585"/>
      <c r="V101" s="581" t="s">
        <v>567</v>
      </c>
      <c r="W101" s="580"/>
      <c r="X101" s="1069">
        <f>+N92-X97</f>
        <v>88.5</v>
      </c>
      <c r="Y101" s="1069"/>
      <c r="Z101" s="1069"/>
      <c r="AA101" s="129"/>
      <c r="AB101" s="2"/>
      <c r="AC101" s="2"/>
      <c r="AF101" s="145"/>
      <c r="AG101" s="145"/>
      <c r="AH101" s="145"/>
      <c r="AI101" s="145"/>
      <c r="AJ101" s="145"/>
      <c r="AK101" s="145"/>
      <c r="AL101" s="145"/>
    </row>
    <row r="102" spans="1:51" ht="8.25" customHeight="1">
      <c r="A102" s="6"/>
      <c r="B102" s="140"/>
      <c r="C102" s="140"/>
      <c r="D102" s="579"/>
      <c r="E102" s="579"/>
      <c r="F102" s="582"/>
      <c r="G102" s="584"/>
      <c r="H102" s="580"/>
      <c r="I102" s="580"/>
      <c r="J102" s="579"/>
      <c r="K102" s="582"/>
      <c r="L102" s="579"/>
      <c r="M102" s="579"/>
      <c r="N102" s="580"/>
      <c r="O102" s="580"/>
      <c r="P102" s="580"/>
      <c r="Q102" s="580"/>
      <c r="R102" s="580"/>
      <c r="S102" s="583"/>
      <c r="T102" s="585"/>
      <c r="U102" s="585"/>
      <c r="V102" s="581"/>
      <c r="W102" s="580"/>
      <c r="X102" s="580"/>
      <c r="Y102" s="580"/>
      <c r="Z102" s="141"/>
      <c r="AA102" s="129"/>
      <c r="AB102" s="2"/>
      <c r="AC102" s="2"/>
      <c r="AF102" s="145"/>
      <c r="AG102" s="145"/>
      <c r="AH102" s="145"/>
      <c r="AI102" s="145"/>
      <c r="AJ102" s="145"/>
      <c r="AK102" s="145"/>
      <c r="AL102" s="145"/>
    </row>
    <row r="103" spans="1:51" ht="17.25" customHeight="1">
      <c r="A103" s="6"/>
      <c r="B103" s="140"/>
      <c r="C103" s="143" t="str">
        <f>"페블테크 두께 "&amp;T92&amp;" 치환시 하부지반에 "&amp;X97&amp;"KN/㎡의 하중이 전달되어 "&amp;X101&amp;"KN/㎡의 하중이 감소됨"</f>
        <v>페블테크 두께 600 치환시 하부지반에 61.5KN/㎡의 하중이 전달되어 88.5KN/㎡의 하중이 감소됨</v>
      </c>
      <c r="D103" s="579"/>
      <c r="E103" s="579"/>
      <c r="F103" s="582"/>
      <c r="G103" s="584"/>
      <c r="H103" s="580"/>
      <c r="I103" s="580"/>
      <c r="J103" s="579"/>
      <c r="K103" s="582"/>
      <c r="L103" s="579"/>
      <c r="M103" s="579"/>
      <c r="N103" s="580"/>
      <c r="O103" s="580"/>
      <c r="P103" s="580"/>
      <c r="Q103" s="580"/>
      <c r="R103" s="580"/>
      <c r="S103" s="583"/>
      <c r="T103" s="585"/>
      <c r="U103" s="585"/>
      <c r="V103" s="581"/>
      <c r="W103" s="580"/>
      <c r="X103" s="580"/>
      <c r="Y103" s="580"/>
      <c r="Z103" s="141"/>
      <c r="AA103" s="129"/>
      <c r="AB103" s="2"/>
      <c r="AC103" s="2"/>
      <c r="AF103" s="145"/>
      <c r="AG103" s="145"/>
      <c r="AH103" s="145"/>
      <c r="AI103" s="145"/>
      <c r="AJ103" s="145"/>
      <c r="AK103" s="145"/>
      <c r="AL103" s="145"/>
      <c r="AX103" s="3"/>
      <c r="AY103" s="3"/>
    </row>
    <row r="104" spans="1:51" ht="17.25" customHeight="1">
      <c r="A104" s="6"/>
      <c r="B104" s="140"/>
      <c r="C104" s="140"/>
      <c r="D104" s="579"/>
      <c r="E104" s="579"/>
      <c r="F104" s="579"/>
      <c r="G104" s="579"/>
      <c r="H104" s="580"/>
      <c r="I104" s="580"/>
      <c r="J104" s="579"/>
      <c r="K104" s="579"/>
      <c r="L104" s="579"/>
      <c r="M104" s="579"/>
      <c r="N104" s="580"/>
      <c r="O104" s="580"/>
      <c r="P104" s="580"/>
      <c r="Q104" s="580"/>
      <c r="R104" s="580"/>
      <c r="S104" s="581"/>
      <c r="T104" s="581"/>
      <c r="U104" s="581"/>
      <c r="V104" s="581"/>
      <c r="W104" s="580"/>
      <c r="X104" s="580"/>
      <c r="Y104" s="580"/>
      <c r="Z104" s="141"/>
      <c r="AA104" s="129"/>
      <c r="AB104" s="2"/>
      <c r="AC104" s="2"/>
      <c r="AF104" s="145"/>
      <c r="AG104" s="145"/>
      <c r="AH104" s="145"/>
      <c r="AI104" s="145"/>
      <c r="AJ104" s="145"/>
      <c r="AK104" s="145"/>
      <c r="AL104" s="145"/>
      <c r="AX104" s="3"/>
      <c r="AY104" s="3"/>
    </row>
    <row r="105" spans="1:51" ht="17.25" customHeight="1">
      <c r="A105" s="6"/>
      <c r="B105" s="90" t="s">
        <v>137</v>
      </c>
      <c r="C105" s="74" t="s">
        <v>566</v>
      </c>
      <c r="D105" s="140"/>
      <c r="E105" s="140"/>
      <c r="F105" s="140"/>
      <c r="G105" s="140"/>
      <c r="H105" s="141"/>
      <c r="I105" s="141"/>
      <c r="J105" s="140"/>
      <c r="K105" s="140"/>
      <c r="L105" s="140"/>
      <c r="M105" s="596"/>
      <c r="N105" s="596"/>
      <c r="O105" s="141"/>
      <c r="P105" s="141"/>
      <c r="Q105" s="141"/>
      <c r="R105" s="141"/>
      <c r="S105" s="142"/>
      <c r="T105" s="142"/>
      <c r="U105" s="142"/>
      <c r="V105" s="142"/>
      <c r="W105" s="141"/>
      <c r="X105" s="141"/>
      <c r="Y105" s="141"/>
      <c r="Z105" s="141"/>
      <c r="AA105" s="129"/>
      <c r="AB105" s="2"/>
      <c r="AC105" s="2"/>
      <c r="AF105" s="145"/>
      <c r="AG105" s="145"/>
      <c r="AH105" s="145"/>
      <c r="AI105" s="145"/>
      <c r="AJ105" s="145"/>
      <c r="AK105" s="145"/>
      <c r="AL105" s="145"/>
      <c r="AX105" s="3"/>
      <c r="AY105" s="3"/>
    </row>
    <row r="106" spans="1:51" ht="6" customHeight="1">
      <c r="A106" s="6"/>
      <c r="B106" s="7"/>
      <c r="C106" s="6"/>
      <c r="D106" s="6"/>
      <c r="E106" s="6"/>
      <c r="F106" s="6"/>
      <c r="G106" s="74"/>
      <c r="H106" s="74"/>
      <c r="I106" s="74"/>
      <c r="J106" s="73"/>
      <c r="K106" s="73"/>
      <c r="L106" s="76"/>
      <c r="M106" s="76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119"/>
      <c r="Z106" s="76"/>
      <c r="AA106" s="129"/>
      <c r="AB106" s="2"/>
      <c r="AC106" s="2"/>
      <c r="AF106" s="145"/>
      <c r="AG106" s="145"/>
      <c r="AH106" s="145"/>
      <c r="AI106" s="145"/>
      <c r="AJ106" s="145"/>
      <c r="AK106" s="145"/>
      <c r="AL106" s="145"/>
    </row>
    <row r="107" spans="1:51" ht="17.25" customHeight="1">
      <c r="A107" s="6"/>
      <c r="B107" s="935" t="s">
        <v>48</v>
      </c>
      <c r="C107" s="874"/>
      <c r="D107" s="874"/>
      <c r="E107" s="852" t="s">
        <v>290</v>
      </c>
      <c r="F107" s="852"/>
      <c r="G107" s="852"/>
      <c r="H107" s="852"/>
      <c r="I107" s="852" t="s">
        <v>49</v>
      </c>
      <c r="J107" s="852"/>
      <c r="K107" s="874" t="s">
        <v>51</v>
      </c>
      <c r="L107" s="874"/>
      <c r="M107" s="874"/>
      <c r="N107" s="874" t="s">
        <v>52</v>
      </c>
      <c r="O107" s="874"/>
      <c r="P107" s="875" t="s">
        <v>565</v>
      </c>
      <c r="Q107" s="875"/>
      <c r="R107" s="941" t="s">
        <v>54</v>
      </c>
      <c r="S107" s="941"/>
      <c r="T107" s="941"/>
      <c r="U107" s="941" t="s">
        <v>55</v>
      </c>
      <c r="V107" s="941"/>
      <c r="W107" s="941"/>
      <c r="X107" s="1286" t="s">
        <v>172</v>
      </c>
      <c r="Y107" s="1286"/>
      <c r="Z107" s="1287"/>
      <c r="AA107" s="129"/>
      <c r="AB107" s="2"/>
      <c r="AC107" s="2"/>
      <c r="AD107" s="1290" t="s">
        <v>57</v>
      </c>
      <c r="AE107" s="1291"/>
      <c r="AF107" s="1291"/>
      <c r="AG107" s="1281" t="s">
        <v>496</v>
      </c>
      <c r="AH107" s="1281"/>
      <c r="AI107" s="1282"/>
      <c r="AJ107" s="145"/>
      <c r="AK107" s="145"/>
      <c r="AL107" s="145"/>
    </row>
    <row r="108" spans="1:51" ht="17.25" customHeight="1">
      <c r="A108" s="6"/>
      <c r="B108" s="936"/>
      <c r="C108" s="937"/>
      <c r="D108" s="937"/>
      <c r="E108" s="869" t="s">
        <v>14</v>
      </c>
      <c r="F108" s="869"/>
      <c r="G108" s="869"/>
      <c r="H108" s="869"/>
      <c r="I108" s="853" t="s">
        <v>14</v>
      </c>
      <c r="J108" s="853"/>
      <c r="K108" s="876" t="s">
        <v>15</v>
      </c>
      <c r="L108" s="876"/>
      <c r="M108" s="876"/>
      <c r="N108" s="876" t="s">
        <v>15</v>
      </c>
      <c r="O108" s="876"/>
      <c r="P108" s="876"/>
      <c r="Q108" s="876"/>
      <c r="R108" s="876" t="s">
        <v>61</v>
      </c>
      <c r="S108" s="876"/>
      <c r="T108" s="876"/>
      <c r="U108" s="1285" t="s">
        <v>15</v>
      </c>
      <c r="V108" s="1285"/>
      <c r="W108" s="1285"/>
      <c r="X108" s="1288"/>
      <c r="Y108" s="1288"/>
      <c r="Z108" s="1289"/>
      <c r="AA108" s="129"/>
      <c r="AB108" s="2"/>
      <c r="AC108" s="2"/>
      <c r="AD108" s="1292"/>
      <c r="AE108" s="1293"/>
      <c r="AF108" s="1293"/>
      <c r="AG108" s="1283"/>
      <c r="AH108" s="1283"/>
      <c r="AI108" s="1284"/>
      <c r="AJ108" s="145"/>
      <c r="AK108" s="145"/>
      <c r="AL108" s="145"/>
    </row>
    <row r="109" spans="1:51" ht="17.25" customHeight="1">
      <c r="A109" s="6"/>
      <c r="B109" s="922" t="str">
        <f>+B14</f>
        <v>매립층</v>
      </c>
      <c r="C109" s="923"/>
      <c r="D109" s="923"/>
      <c r="E109" s="924">
        <f>+N5</f>
        <v>1.1599999999999999</v>
      </c>
      <c r="F109" s="924"/>
      <c r="G109" s="940">
        <f>+F14</f>
        <v>3.5</v>
      </c>
      <c r="H109" s="940"/>
      <c r="I109" s="870">
        <f t="shared" ref="I109:I111" si="8">G109-E109</f>
        <v>2.34</v>
      </c>
      <c r="J109" s="870"/>
      <c r="K109" s="927">
        <f>IF(K14="","",VLOOKUP(B109,$B$14:$Z$18,10,FALSE))</f>
        <v>18</v>
      </c>
      <c r="L109" s="927"/>
      <c r="M109" s="927"/>
      <c r="N109" s="870">
        <f>IF(N14="","",+VLOOKUP(B109,$B$14:$W$18,13,FALSE))</f>
        <v>0</v>
      </c>
      <c r="O109" s="870"/>
      <c r="P109" s="1035">
        <f>N109*I109</f>
        <v>0</v>
      </c>
      <c r="Q109" s="1035"/>
      <c r="R109" s="927">
        <f>+VLOOKUP(B109,$B$14:$W$18,15,FALSE)</f>
        <v>21</v>
      </c>
      <c r="S109" s="927"/>
      <c r="T109" s="927"/>
      <c r="U109" s="1216">
        <f>IF(U14="","",VLOOKUP(B109,$B$14:$W$18,20,FALSE))</f>
        <v>9500</v>
      </c>
      <c r="V109" s="1216"/>
      <c r="W109" s="1216"/>
      <c r="X109" s="933"/>
      <c r="Y109" s="933"/>
      <c r="Z109" s="934"/>
      <c r="AA109" s="129"/>
      <c r="AB109" s="2"/>
      <c r="AC109" s="2"/>
      <c r="AD109" s="847">
        <f t="shared" ref="AD109:AD114" si="9">+ROUND(RADIANS(R109),4)</f>
        <v>0.36649999999999999</v>
      </c>
      <c r="AE109" s="847"/>
      <c r="AF109" s="847"/>
      <c r="AG109" s="847">
        <f>+ROUND(TAN(AD109)*I109,4)</f>
        <v>0.8982</v>
      </c>
      <c r="AH109" s="847"/>
      <c r="AI109" s="847"/>
      <c r="AJ109" s="145"/>
      <c r="AK109" s="145"/>
      <c r="AL109" s="145"/>
    </row>
    <row r="110" spans="1:51" ht="17.25" customHeight="1">
      <c r="A110" s="6"/>
      <c r="B110" s="922" t="str">
        <f>+B15</f>
        <v>퇴적층</v>
      </c>
      <c r="C110" s="923"/>
      <c r="D110" s="923"/>
      <c r="E110" s="924">
        <f t="shared" ref="E110:E111" si="10">IF(D15="","",D15)</f>
        <v>3.5</v>
      </c>
      <c r="F110" s="924"/>
      <c r="G110" s="940">
        <f>J117+E109</f>
        <v>5.0599999999999996</v>
      </c>
      <c r="H110" s="940"/>
      <c r="I110" s="870">
        <f t="shared" si="8"/>
        <v>1.5599999999999996</v>
      </c>
      <c r="J110" s="870"/>
      <c r="K110" s="927">
        <f>IF(K15="","",VLOOKUP(B110,$B$14:$Z$18,10,FALSE))</f>
        <v>18</v>
      </c>
      <c r="L110" s="927"/>
      <c r="M110" s="927"/>
      <c r="N110" s="870">
        <f>IF(N15="","",+VLOOKUP(B110,$B$14:$W$18,13,FALSE))</f>
        <v>0</v>
      </c>
      <c r="O110" s="870"/>
      <c r="P110" s="1035">
        <f>N110*I110</f>
        <v>0</v>
      </c>
      <c r="Q110" s="1035"/>
      <c r="R110" s="927">
        <f t="shared" ref="R110:R111" si="11">+VLOOKUP(B110,$B$14:$W$18,15,FALSE)</f>
        <v>23</v>
      </c>
      <c r="S110" s="927"/>
      <c r="T110" s="927"/>
      <c r="U110" s="1216">
        <f>IF(U15="","",VLOOKUP(B110,$B$14:$W$18,20,FALSE))</f>
        <v>10000</v>
      </c>
      <c r="V110" s="1216"/>
      <c r="W110" s="1216"/>
      <c r="X110" s="933"/>
      <c r="Y110" s="933"/>
      <c r="Z110" s="934"/>
      <c r="AA110" s="129"/>
      <c r="AB110" s="2"/>
      <c r="AC110" s="2"/>
      <c r="AD110" s="847">
        <f t="shared" si="9"/>
        <v>0.40139999999999998</v>
      </c>
      <c r="AE110" s="847"/>
      <c r="AF110" s="847"/>
      <c r="AG110" s="847">
        <f>+ROUND(TAN(AD110)*I110,4)</f>
        <v>0.66210000000000002</v>
      </c>
      <c r="AH110" s="847"/>
      <c r="AI110" s="847"/>
      <c r="AJ110" s="145"/>
      <c r="AK110" s="145"/>
      <c r="AL110" s="145"/>
    </row>
    <row r="111" spans="1:51" ht="17.25" customHeight="1">
      <c r="A111" s="6"/>
      <c r="B111" s="922" t="str">
        <f>+B16</f>
        <v>풍화암</v>
      </c>
      <c r="C111" s="923"/>
      <c r="D111" s="923"/>
      <c r="E111" s="924">
        <f t="shared" si="10"/>
        <v>6.7</v>
      </c>
      <c r="F111" s="924"/>
      <c r="G111" s="940">
        <v>6.7</v>
      </c>
      <c r="H111" s="940"/>
      <c r="I111" s="870">
        <f t="shared" si="8"/>
        <v>0</v>
      </c>
      <c r="J111" s="870"/>
      <c r="K111" s="927">
        <f>IF(K16="","",VLOOKUP(B111,$B$14:$Z$18,10,FALSE))</f>
        <v>20</v>
      </c>
      <c r="L111" s="927"/>
      <c r="M111" s="927"/>
      <c r="N111" s="870">
        <f>IF(N16="","",+VLOOKUP(B111,$B$14:$W$18,13,FALSE))</f>
        <v>20</v>
      </c>
      <c r="O111" s="870"/>
      <c r="P111" s="1035">
        <f>N111*I111</f>
        <v>0</v>
      </c>
      <c r="Q111" s="1035"/>
      <c r="R111" s="927">
        <f t="shared" si="11"/>
        <v>30</v>
      </c>
      <c r="S111" s="927"/>
      <c r="T111" s="927"/>
      <c r="U111" s="1216">
        <f>IF(U16="","",VLOOKUP(B111,$B$14:$W$18,20,FALSE))</f>
        <v>700000.00000000012</v>
      </c>
      <c r="V111" s="1216"/>
      <c r="W111" s="1216"/>
      <c r="X111" s="933"/>
      <c r="Y111" s="933"/>
      <c r="Z111" s="934"/>
      <c r="AA111" s="129"/>
      <c r="AB111" s="2"/>
      <c r="AC111" s="2"/>
      <c r="AD111" s="847">
        <f t="shared" si="9"/>
        <v>0.52359999999999995</v>
      </c>
      <c r="AE111" s="847"/>
      <c r="AF111" s="847"/>
      <c r="AG111" s="847">
        <f>+ROUND(TAN(AD111)*I111,5)</f>
        <v>0</v>
      </c>
      <c r="AH111" s="847"/>
      <c r="AI111" s="847"/>
      <c r="AJ111" s="145"/>
      <c r="AK111" s="145"/>
      <c r="AL111" s="145"/>
    </row>
    <row r="112" spans="1:51" ht="17.25" customHeight="1">
      <c r="A112" s="6"/>
      <c r="B112" s="922"/>
      <c r="C112" s="923"/>
      <c r="D112" s="923"/>
      <c r="E112" s="924"/>
      <c r="F112" s="924"/>
      <c r="G112" s="940"/>
      <c r="H112" s="940"/>
      <c r="I112" s="870"/>
      <c r="J112" s="870"/>
      <c r="K112" s="927"/>
      <c r="L112" s="927"/>
      <c r="M112" s="927"/>
      <c r="N112" s="870"/>
      <c r="O112" s="870"/>
      <c r="P112" s="1035"/>
      <c r="Q112" s="1035"/>
      <c r="R112" s="927"/>
      <c r="S112" s="927"/>
      <c r="T112" s="927"/>
      <c r="U112" s="1216"/>
      <c r="V112" s="1216"/>
      <c r="W112" s="1216"/>
      <c r="X112" s="933"/>
      <c r="Y112" s="933"/>
      <c r="Z112" s="934"/>
      <c r="AA112" s="129"/>
      <c r="AB112" s="2"/>
      <c r="AC112" s="2"/>
      <c r="AD112" s="847">
        <f t="shared" si="9"/>
        <v>0</v>
      </c>
      <c r="AE112" s="847"/>
      <c r="AF112" s="847"/>
      <c r="AG112" s="847">
        <f>+ROUND(TAN(AD112)*I112,5)</f>
        <v>0</v>
      </c>
      <c r="AH112" s="847"/>
      <c r="AI112" s="847"/>
      <c r="AJ112" s="145"/>
      <c r="AK112" s="145"/>
      <c r="AL112" s="145"/>
    </row>
    <row r="113" spans="1:54" ht="17.25" customHeight="1">
      <c r="A113" s="6"/>
      <c r="B113" s="922"/>
      <c r="C113" s="923"/>
      <c r="D113" s="923"/>
      <c r="E113" s="924"/>
      <c r="F113" s="924"/>
      <c r="G113" s="940"/>
      <c r="H113" s="940"/>
      <c r="I113" s="870"/>
      <c r="J113" s="870"/>
      <c r="K113" s="927"/>
      <c r="L113" s="927"/>
      <c r="M113" s="927"/>
      <c r="N113" s="870"/>
      <c r="O113" s="870"/>
      <c r="P113" s="1035"/>
      <c r="Q113" s="1035"/>
      <c r="R113" s="927"/>
      <c r="S113" s="927"/>
      <c r="T113" s="927"/>
      <c r="U113" s="1216"/>
      <c r="V113" s="1216"/>
      <c r="W113" s="1216"/>
      <c r="X113" s="933"/>
      <c r="Y113" s="933"/>
      <c r="Z113" s="934"/>
      <c r="AA113" s="129"/>
      <c r="AB113" s="2"/>
      <c r="AC113" s="2"/>
      <c r="AD113" s="847">
        <f t="shared" si="9"/>
        <v>0</v>
      </c>
      <c r="AE113" s="847"/>
      <c r="AF113" s="847"/>
      <c r="AG113" s="847">
        <f>+ROUND(TAN(AD113)*I113,5)</f>
        <v>0</v>
      </c>
      <c r="AH113" s="847"/>
      <c r="AI113" s="847"/>
      <c r="AJ113" s="145"/>
      <c r="AK113" s="145"/>
      <c r="AL113" s="145"/>
    </row>
    <row r="114" spans="1:54" ht="17.25" customHeight="1">
      <c r="A114" s="6"/>
      <c r="B114" s="1052"/>
      <c r="C114" s="1053"/>
      <c r="D114" s="1053"/>
      <c r="E114" s="924"/>
      <c r="F114" s="924"/>
      <c r="G114" s="940"/>
      <c r="H114" s="940"/>
      <c r="I114" s="870"/>
      <c r="J114" s="870"/>
      <c r="K114" s="927"/>
      <c r="L114" s="927"/>
      <c r="M114" s="927"/>
      <c r="N114" s="870"/>
      <c r="O114" s="870"/>
      <c r="P114" s="1035"/>
      <c r="Q114" s="1035"/>
      <c r="R114" s="927"/>
      <c r="S114" s="927"/>
      <c r="T114" s="927"/>
      <c r="U114" s="1216"/>
      <c r="V114" s="1216"/>
      <c r="W114" s="1216"/>
      <c r="X114" s="933"/>
      <c r="Y114" s="933"/>
      <c r="Z114" s="934"/>
      <c r="AA114" s="129"/>
      <c r="AB114" s="2"/>
      <c r="AC114" s="2"/>
      <c r="AD114" s="847">
        <f t="shared" si="9"/>
        <v>0</v>
      </c>
      <c r="AE114" s="847"/>
      <c r="AF114" s="847"/>
      <c r="AG114" s="847">
        <f>+ROUND(TAN(AD114)*I114,5)</f>
        <v>0</v>
      </c>
      <c r="AH114" s="847"/>
      <c r="AI114" s="847"/>
      <c r="AJ114" s="145"/>
      <c r="AK114" s="145"/>
      <c r="AL114" s="145"/>
    </row>
    <row r="115" spans="1:54" ht="17.25" customHeight="1">
      <c r="A115" s="6"/>
      <c r="B115" s="1183" t="s">
        <v>77</v>
      </c>
      <c r="C115" s="858"/>
      <c r="D115" s="858"/>
      <c r="E115" s="858"/>
      <c r="F115" s="858"/>
      <c r="G115" s="858"/>
      <c r="H115" s="858"/>
      <c r="I115" s="857">
        <f>ROUND(SUM(I109:J114),2)</f>
        <v>3.9</v>
      </c>
      <c r="J115" s="857"/>
      <c r="K115" s="1226"/>
      <c r="L115" s="1226"/>
      <c r="M115" s="1226"/>
      <c r="N115" s="1299"/>
      <c r="O115" s="1299"/>
      <c r="P115" s="1300">
        <f>SUM(P109:Q114)</f>
        <v>0</v>
      </c>
      <c r="Q115" s="1301"/>
      <c r="R115" s="1302"/>
      <c r="S115" s="1302"/>
      <c r="T115" s="1302"/>
      <c r="U115" s="1270"/>
      <c r="V115" s="1270"/>
      <c r="W115" s="1270"/>
      <c r="X115" s="1271"/>
      <c r="Y115" s="1271"/>
      <c r="Z115" s="1272"/>
      <c r="AA115" s="129"/>
      <c r="AB115" s="2"/>
      <c r="AC115" s="2"/>
      <c r="AD115" s="1297" t="s">
        <v>522</v>
      </c>
      <c r="AE115" s="1298"/>
      <c r="AF115" s="1298"/>
      <c r="AG115" s="847">
        <f>SUM(AG109:AG114)</f>
        <v>1.5603</v>
      </c>
      <c r="AH115" s="847"/>
      <c r="AI115" s="847"/>
      <c r="AJ115" s="145"/>
      <c r="AK115" s="145"/>
      <c r="AL115" s="145"/>
    </row>
    <row r="116" spans="1:54" ht="11.25" customHeight="1">
      <c r="A116" s="6"/>
      <c r="B116" s="590"/>
      <c r="C116" s="590"/>
      <c r="D116" s="590"/>
      <c r="E116" s="590"/>
      <c r="F116" s="590"/>
      <c r="G116" s="590"/>
      <c r="H116" s="706"/>
      <c r="I116" s="706"/>
      <c r="J116" s="706"/>
      <c r="K116" s="2"/>
      <c r="L116" s="2"/>
      <c r="M116" s="2"/>
      <c r="N116" s="401"/>
      <c r="O116" s="401"/>
      <c r="P116" s="707"/>
      <c r="Q116" s="707"/>
      <c r="R116" s="708"/>
      <c r="S116" s="708"/>
      <c r="T116" s="708"/>
      <c r="U116" s="709"/>
      <c r="V116" s="709"/>
      <c r="W116" s="709"/>
      <c r="X116" s="466"/>
      <c r="Y116" s="466"/>
      <c r="Z116" s="466"/>
      <c r="AA116" s="129"/>
      <c r="AB116" s="2"/>
      <c r="AC116" s="2"/>
      <c r="AD116" s="847" t="s">
        <v>81</v>
      </c>
      <c r="AE116" s="847"/>
      <c r="AF116" s="847"/>
      <c r="AG116" s="847">
        <f>ROUND(+AG115/I115,5)</f>
        <v>0.40007999999999999</v>
      </c>
      <c r="AH116" s="847"/>
      <c r="AI116" s="847"/>
      <c r="AJ116" s="145"/>
      <c r="AK116" s="145"/>
      <c r="AL116" s="145"/>
    </row>
    <row r="117" spans="1:54" ht="17.25" customHeight="1">
      <c r="A117" s="6"/>
      <c r="B117" s="143" t="s">
        <v>165</v>
      </c>
      <c r="C117" s="140"/>
      <c r="D117" s="140"/>
      <c r="E117" s="140"/>
      <c r="F117" s="1242">
        <v>2.1</v>
      </c>
      <c r="G117" s="1242"/>
      <c r="H117" s="141" t="s">
        <v>184</v>
      </c>
      <c r="I117" s="144" t="s">
        <v>90</v>
      </c>
      <c r="J117" s="926">
        <f>ROUND(E92*F117,1)</f>
        <v>3.9</v>
      </c>
      <c r="K117" s="926"/>
      <c r="L117" s="711" t="s">
        <v>14</v>
      </c>
      <c r="M117" s="543" t="s">
        <v>528</v>
      </c>
      <c r="O117" s="141"/>
      <c r="P117" s="141"/>
      <c r="Q117" s="141"/>
      <c r="R117" s="77"/>
      <c r="S117" s="77"/>
      <c r="T117" s="589"/>
      <c r="U117" s="589"/>
      <c r="V117" s="589"/>
      <c r="W117" s="155"/>
      <c r="X117" s="155"/>
      <c r="Y117" s="155"/>
      <c r="Z117" s="155"/>
      <c r="AA117" s="155"/>
      <c r="AB117" s="2"/>
      <c r="AC117" s="2"/>
      <c r="AD117" s="1265" t="s">
        <v>174</v>
      </c>
      <c r="AE117" s="1266"/>
      <c r="AF117" s="1267"/>
      <c r="AG117" s="1294">
        <f>+ROUND(ATAN(AG116),3)</f>
        <v>0.38100000000000001</v>
      </c>
      <c r="AH117" s="1295"/>
      <c r="AI117" s="1296"/>
      <c r="AJ117" s="145"/>
      <c r="AK117" t="s">
        <v>179</v>
      </c>
      <c r="AL117" s="85"/>
      <c r="AM117" s="85">
        <f>+K109</f>
        <v>18</v>
      </c>
      <c r="AN117" s="164" t="s">
        <v>180</v>
      </c>
      <c r="AO117" s="597">
        <f>+F5</f>
        <v>1.85</v>
      </c>
      <c r="AP117" s="165" t="s">
        <v>181</v>
      </c>
      <c r="AQ117" s="85">
        <f>+AR118</f>
        <v>0</v>
      </c>
      <c r="AR117" s="166" t="s">
        <v>90</v>
      </c>
      <c r="AS117" s="1261" t="e">
        <f>+AM117*AO117/AQ117</f>
        <v>#DIV/0!</v>
      </c>
      <c r="AT117" s="1261"/>
      <c r="AU117" s="167"/>
      <c r="AX117" t="s">
        <v>182</v>
      </c>
      <c r="AY117" t="s">
        <v>51</v>
      </c>
    </row>
    <row r="118" spans="1:54" ht="17.25" customHeight="1">
      <c r="A118" s="6"/>
      <c r="B118" s="143"/>
      <c r="C118" s="140"/>
      <c r="D118" s="140"/>
      <c r="E118" s="140"/>
      <c r="F118" s="140"/>
      <c r="G118" s="140"/>
      <c r="H118" s="141"/>
      <c r="J118" s="144"/>
      <c r="K118" s="141"/>
      <c r="L118" s="141"/>
      <c r="M118" s="141"/>
      <c r="N118" s="543"/>
      <c r="O118" s="141"/>
      <c r="P118" s="141"/>
      <c r="Q118" s="141"/>
      <c r="R118" s="77"/>
      <c r="S118" s="77"/>
      <c r="T118" s="589"/>
      <c r="U118" s="589"/>
      <c r="V118" s="589"/>
      <c r="W118" s="155"/>
      <c r="X118" s="155"/>
      <c r="Y118" s="155"/>
      <c r="Z118" s="155"/>
      <c r="AA118" s="155"/>
      <c r="AB118" s="46"/>
      <c r="AC118" s="2"/>
      <c r="AD118" s="1269" t="s">
        <v>175</v>
      </c>
      <c r="AE118" s="1269"/>
      <c r="AF118" s="1269"/>
      <c r="AG118" s="1269">
        <f>ROUND(DEGREES(AG117),2)</f>
        <v>21.83</v>
      </c>
      <c r="AH118" s="1269"/>
      <c r="AI118" s="1269"/>
      <c r="AJ118" s="145"/>
      <c r="AK118" t="s">
        <v>183</v>
      </c>
      <c r="AL118" s="85"/>
      <c r="AM118" s="85">
        <v>2</v>
      </c>
      <c r="AN118" s="164" t="s">
        <v>180</v>
      </c>
      <c r="AO118" s="1262">
        <f>+U119</f>
        <v>0</v>
      </c>
      <c r="AP118" s="1262"/>
      <c r="AQ118" s="164" t="s">
        <v>90</v>
      </c>
      <c r="AR118">
        <f>+AO118*AM118</f>
        <v>0</v>
      </c>
      <c r="AS118" s="512"/>
      <c r="AT118" s="512"/>
      <c r="AU118"/>
      <c r="AX118" t="s">
        <v>184</v>
      </c>
      <c r="AY118" t="s">
        <v>185</v>
      </c>
    </row>
    <row r="119" spans="1:54" ht="12" customHeight="1">
      <c r="A119" s="6"/>
      <c r="B119" s="590"/>
      <c r="C119" s="590"/>
      <c r="D119" s="590"/>
      <c r="E119" s="590"/>
      <c r="F119" s="590"/>
      <c r="G119" s="590"/>
      <c r="H119" s="73" t="s">
        <v>176</v>
      </c>
      <c r="J119" s="76"/>
      <c r="L119" s="76"/>
      <c r="M119" s="76"/>
      <c r="N119" s="74" t="s">
        <v>89</v>
      </c>
      <c r="O119" s="77"/>
      <c r="P119" s="73" t="str">
        <f>P115&amp;" / ("&amp;I115&amp;")"</f>
        <v>0 / (3.9)</v>
      </c>
      <c r="Q119" s="77"/>
      <c r="R119" s="77"/>
      <c r="S119" s="77"/>
      <c r="T119" s="119" t="s">
        <v>90</v>
      </c>
      <c r="U119" s="1268">
        <f>+ROUND($P$115/($I$115),2)</f>
        <v>0</v>
      </c>
      <c r="V119" s="1268"/>
      <c r="W119" s="1268"/>
      <c r="X119" s="466"/>
      <c r="Y119" s="466"/>
      <c r="Z119" s="466"/>
      <c r="AA119" s="129"/>
      <c r="AC119" s="2"/>
      <c r="AF119" s="145"/>
      <c r="AG119" s="145"/>
      <c r="AH119" s="145"/>
      <c r="AI119" s="145"/>
      <c r="AJ119" s="145"/>
      <c r="AK119" s="145"/>
      <c r="AL119" s="145"/>
      <c r="AX119" t="s">
        <v>186</v>
      </c>
      <c r="AY119" t="s">
        <v>187</v>
      </c>
    </row>
    <row r="120" spans="1:54" ht="17.25" customHeight="1">
      <c r="A120" s="6"/>
      <c r="B120" s="590"/>
      <c r="C120" s="590"/>
      <c r="D120" s="590"/>
      <c r="E120" s="590"/>
      <c r="F120" s="590"/>
      <c r="G120" s="590"/>
      <c r="H120" s="73" t="s">
        <v>94</v>
      </c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 t="s">
        <v>90</v>
      </c>
      <c r="U120" s="1268">
        <f>+AG118</f>
        <v>21.83</v>
      </c>
      <c r="V120" s="1268"/>
      <c r="W120" s="1268"/>
      <c r="X120" s="466"/>
      <c r="Y120" s="466"/>
      <c r="Z120" s="466"/>
      <c r="AA120" s="129"/>
      <c r="AC120" s="2"/>
      <c r="AF120" s="755">
        <f>AI499</f>
        <v>1.9422280000000001</v>
      </c>
      <c r="AG120" s="756" t="s">
        <v>853</v>
      </c>
      <c r="AH120" s="145"/>
      <c r="AI120" s="145"/>
      <c r="AJ120" s="145"/>
      <c r="AK120" t="s">
        <v>188</v>
      </c>
      <c r="AL120"/>
      <c r="AM120"/>
      <c r="AN120"/>
      <c r="AO120"/>
      <c r="AP120"/>
      <c r="AQ120"/>
      <c r="AR120"/>
      <c r="AS120" s="1263">
        <f>+ROUND(DEGREES(AG117),2)</f>
        <v>21.83</v>
      </c>
      <c r="AT120" s="1263"/>
    </row>
    <row r="121" spans="1:54" ht="5.25" customHeight="1">
      <c r="A121" s="6"/>
      <c r="B121" s="590"/>
      <c r="C121" s="590"/>
      <c r="D121" s="590"/>
      <c r="E121" s="590"/>
      <c r="F121" s="590"/>
      <c r="G121" s="590"/>
      <c r="H121" s="73"/>
      <c r="I121" s="74"/>
      <c r="J121" s="76"/>
      <c r="K121" s="161"/>
      <c r="L121" s="162"/>
      <c r="M121" s="162"/>
      <c r="N121" s="163"/>
      <c r="O121" s="163"/>
      <c r="P121" s="163"/>
      <c r="Q121" s="77"/>
      <c r="R121" s="77"/>
      <c r="S121" s="77"/>
      <c r="T121" s="119"/>
      <c r="U121" s="578"/>
      <c r="V121" s="578"/>
      <c r="W121" s="578"/>
      <c r="X121" s="466"/>
      <c r="Y121" s="466"/>
      <c r="Z121" s="466"/>
      <c r="AA121" s="129"/>
      <c r="AC121" s="2"/>
      <c r="AF121" s="145"/>
      <c r="AG121" s="145"/>
      <c r="AH121" s="145"/>
      <c r="AI121" s="145"/>
      <c r="AJ121" s="145"/>
      <c r="AK121" s="145"/>
      <c r="AL121" s="145"/>
    </row>
    <row r="122" spans="1:54" ht="24" customHeight="1">
      <c r="A122" s="6"/>
      <c r="B122" s="90" t="s">
        <v>570</v>
      </c>
      <c r="C122" s="74" t="s">
        <v>167</v>
      </c>
      <c r="D122" s="140"/>
      <c r="E122" s="140"/>
      <c r="F122" s="140"/>
      <c r="G122" s="140"/>
      <c r="H122" s="141"/>
      <c r="I122" s="141"/>
      <c r="J122" s="140"/>
      <c r="K122" s="140"/>
      <c r="L122" s="140"/>
      <c r="M122" s="140"/>
      <c r="N122" s="141"/>
      <c r="O122" s="141"/>
      <c r="P122" s="141"/>
      <c r="Q122" s="141"/>
      <c r="R122" s="141"/>
      <c r="S122" s="142"/>
      <c r="T122" s="142"/>
      <c r="U122" s="142"/>
      <c r="V122" s="142"/>
      <c r="W122" s="141"/>
      <c r="X122" s="141"/>
      <c r="Y122" s="141"/>
      <c r="Z122" s="141"/>
      <c r="AA122" s="129"/>
      <c r="AC122" s="2"/>
      <c r="AF122" s="145"/>
      <c r="AG122" s="145"/>
      <c r="AH122" s="145"/>
      <c r="AI122" s="145"/>
      <c r="AJ122" s="145"/>
      <c r="AK122" s="171" t="s">
        <v>189</v>
      </c>
      <c r="AL122" s="1264" t="s">
        <v>568</v>
      </c>
      <c r="AM122" s="1264"/>
      <c r="AN122" s="85" t="s">
        <v>190</v>
      </c>
      <c r="AP122" s="1273">
        <v>2.2999999999999998</v>
      </c>
      <c r="AQ122" s="1273"/>
      <c r="AR122" s="85" t="s">
        <v>191</v>
      </c>
      <c r="AU122" s="1273">
        <f>ROUND(AP122*E92,1)</f>
        <v>4.3</v>
      </c>
      <c r="AV122" s="1273"/>
      <c r="AW122" s="3" t="s">
        <v>14</v>
      </c>
      <c r="AX122" s="3"/>
      <c r="AY122" s="3"/>
    </row>
    <row r="123" spans="1:54" ht="6" customHeight="1">
      <c r="A123" s="6"/>
      <c r="B123" s="7"/>
      <c r="C123" s="6"/>
      <c r="D123" s="6"/>
      <c r="E123" s="6"/>
      <c r="F123" s="6"/>
      <c r="G123" s="74"/>
      <c r="H123" s="74"/>
      <c r="I123" s="74"/>
      <c r="J123" s="73"/>
      <c r="K123" s="73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119"/>
      <c r="Z123" s="76"/>
      <c r="AA123" s="76"/>
      <c r="AC123" s="2"/>
      <c r="AF123" s="145"/>
      <c r="AG123" s="145"/>
      <c r="AH123" s="145"/>
      <c r="AI123" s="145"/>
      <c r="AJ123" s="145"/>
      <c r="AK123" s="145"/>
      <c r="AL123" s="145"/>
    </row>
    <row r="124" spans="1:54" ht="22.5" customHeight="1">
      <c r="A124" s="6"/>
      <c r="B124" s="935" t="s">
        <v>48</v>
      </c>
      <c r="C124" s="874"/>
      <c r="D124" s="874"/>
      <c r="E124" s="852" t="s">
        <v>290</v>
      </c>
      <c r="F124" s="852"/>
      <c r="G124" s="852"/>
      <c r="H124" s="852"/>
      <c r="I124" s="852" t="s">
        <v>49</v>
      </c>
      <c r="J124" s="852"/>
      <c r="K124" s="874" t="s">
        <v>51</v>
      </c>
      <c r="L124" s="874"/>
      <c r="M124" s="874"/>
      <c r="N124" s="874" t="s">
        <v>52</v>
      </c>
      <c r="O124" s="874"/>
      <c r="P124" s="875" t="s">
        <v>565</v>
      </c>
      <c r="Q124" s="875"/>
      <c r="R124" s="941" t="s">
        <v>54</v>
      </c>
      <c r="S124" s="941"/>
      <c r="T124" s="941"/>
      <c r="U124" s="941" t="s">
        <v>55</v>
      </c>
      <c r="V124" s="941"/>
      <c r="W124" s="941"/>
      <c r="X124" s="1286" t="s">
        <v>172</v>
      </c>
      <c r="Y124" s="1286"/>
      <c r="Z124" s="1287"/>
      <c r="AA124" s="77"/>
      <c r="AD124" s="1290" t="s">
        <v>57</v>
      </c>
      <c r="AE124" s="1291"/>
      <c r="AF124" s="1291"/>
      <c r="AG124" s="1281" t="s">
        <v>496</v>
      </c>
      <c r="AH124" s="1281"/>
      <c r="AI124" s="1282"/>
      <c r="AX124" s="3"/>
      <c r="AY124" s="3"/>
    </row>
    <row r="125" spans="1:54" ht="17.25" customHeight="1">
      <c r="A125" s="6"/>
      <c r="B125" s="936"/>
      <c r="C125" s="937"/>
      <c r="D125" s="937"/>
      <c r="E125" s="869" t="s">
        <v>14</v>
      </c>
      <c r="F125" s="869"/>
      <c r="G125" s="869"/>
      <c r="H125" s="869"/>
      <c r="I125" s="853" t="s">
        <v>14</v>
      </c>
      <c r="J125" s="853"/>
      <c r="K125" s="876" t="s">
        <v>15</v>
      </c>
      <c r="L125" s="876"/>
      <c r="M125" s="876"/>
      <c r="N125" s="876" t="s">
        <v>15</v>
      </c>
      <c r="O125" s="876"/>
      <c r="P125" s="876"/>
      <c r="Q125" s="876"/>
      <c r="R125" s="876" t="s">
        <v>61</v>
      </c>
      <c r="S125" s="876"/>
      <c r="T125" s="876"/>
      <c r="U125" s="1285" t="s">
        <v>15</v>
      </c>
      <c r="V125" s="1285"/>
      <c r="W125" s="1285"/>
      <c r="X125" s="1288"/>
      <c r="Y125" s="1288"/>
      <c r="Z125" s="1289"/>
      <c r="AA125" s="77"/>
      <c r="AD125" s="1292"/>
      <c r="AE125" s="1293"/>
      <c r="AF125" s="1293"/>
      <c r="AG125" s="1283"/>
      <c r="AH125" s="1283"/>
      <c r="AI125" s="1284"/>
      <c r="AX125" s="3"/>
      <c r="AY125" s="3"/>
      <c r="BB125" s="5"/>
    </row>
    <row r="126" spans="1:54" ht="17.25" customHeight="1">
      <c r="A126" s="6"/>
      <c r="B126" s="938" t="s">
        <v>402</v>
      </c>
      <c r="C126" s="939"/>
      <c r="D126" s="939"/>
      <c r="E126" s="924">
        <f>+N5</f>
        <v>1.1599999999999999</v>
      </c>
      <c r="F126" s="924"/>
      <c r="G126" s="850">
        <f>+E126+T92/1000</f>
        <v>1.7599999999999998</v>
      </c>
      <c r="H126" s="850"/>
      <c r="I126" s="854">
        <v>0</v>
      </c>
      <c r="J126" s="854"/>
      <c r="K126" s="1054">
        <v>19</v>
      </c>
      <c r="L126" s="1054"/>
      <c r="M126" s="1054"/>
      <c r="N126" s="854">
        <f>AD55</f>
        <v>0</v>
      </c>
      <c r="O126" s="854"/>
      <c r="P126" s="1058">
        <f>N126*I126</f>
        <v>0</v>
      </c>
      <c r="Q126" s="1058"/>
      <c r="R126" s="1054">
        <f>+Q92</f>
        <v>45</v>
      </c>
      <c r="S126" s="1054"/>
      <c r="T126" s="1054"/>
      <c r="U126" s="1055">
        <v>200000</v>
      </c>
      <c r="V126" s="1055"/>
      <c r="W126" s="1055"/>
      <c r="X126" s="1056"/>
      <c r="Y126" s="1056"/>
      <c r="Z126" s="1057"/>
      <c r="AA126" s="77"/>
      <c r="AD126" s="847">
        <f t="shared" ref="AD126:AD131" si="12">+ROUND(RADIANS(R126),4)</f>
        <v>0.78539999999999999</v>
      </c>
      <c r="AE126" s="847"/>
      <c r="AF126" s="847"/>
      <c r="AG126" s="847">
        <f>+ROUND(TAN(AD126)*I126,4)</f>
        <v>0</v>
      </c>
      <c r="AH126" s="847"/>
      <c r="AI126" s="847"/>
      <c r="AX126" s="3"/>
      <c r="AY126" s="3"/>
    </row>
    <row r="127" spans="1:54" ht="17.25" customHeight="1">
      <c r="A127" s="6"/>
      <c r="B127" s="922" t="str">
        <f>+B14</f>
        <v>매립층</v>
      </c>
      <c r="C127" s="923"/>
      <c r="D127" s="923"/>
      <c r="E127" s="925">
        <f>+G126</f>
        <v>1.7599999999999998</v>
      </c>
      <c r="F127" s="925"/>
      <c r="G127" s="851">
        <f>+F14</f>
        <v>3.5</v>
      </c>
      <c r="H127" s="851"/>
      <c r="I127" s="854">
        <f>G127-E127</f>
        <v>1.7400000000000002</v>
      </c>
      <c r="J127" s="854"/>
      <c r="K127" s="927">
        <f>IF(K14="","",VLOOKUP(B127,$B$14:$Z$18,10,FALSE))</f>
        <v>18</v>
      </c>
      <c r="L127" s="927"/>
      <c r="M127" s="927"/>
      <c r="N127" s="870">
        <f>IF(N14="","",+VLOOKUP(B127,$B$14:$W$18,13,FALSE))</f>
        <v>0</v>
      </c>
      <c r="O127" s="870"/>
      <c r="P127" s="1035">
        <f>N127*I127</f>
        <v>0</v>
      </c>
      <c r="Q127" s="1035"/>
      <c r="R127" s="927">
        <f>IF(P14="","",+VLOOKUP(B127,$B$14:$W$18,15,FALSE))</f>
        <v>21</v>
      </c>
      <c r="S127" s="927"/>
      <c r="T127" s="927"/>
      <c r="U127" s="1216">
        <f>IF(U14="","",+VLOOKUP(B127,$B$14:$W$18,20,FALSE))</f>
        <v>9500</v>
      </c>
      <c r="V127" s="1216"/>
      <c r="W127" s="1216"/>
      <c r="X127" s="933"/>
      <c r="Y127" s="933"/>
      <c r="Z127" s="934"/>
      <c r="AA127" s="77"/>
      <c r="AD127" s="847">
        <f t="shared" si="12"/>
        <v>0.36649999999999999</v>
      </c>
      <c r="AE127" s="847"/>
      <c r="AF127" s="847"/>
      <c r="AG127" s="847">
        <f>+ROUND(TAN(AD127)*I127,4)</f>
        <v>0.66790000000000005</v>
      </c>
      <c r="AH127" s="847"/>
      <c r="AI127" s="847"/>
      <c r="AK127" s="774" t="s">
        <v>880</v>
      </c>
    </row>
    <row r="128" spans="1:54" ht="17.25" customHeight="1">
      <c r="A128" s="6"/>
      <c r="B128" s="922" t="str">
        <f t="shared" ref="B128:B129" si="13">+B15</f>
        <v>퇴적층</v>
      </c>
      <c r="C128" s="923"/>
      <c r="D128" s="923"/>
      <c r="E128" s="925">
        <f>+D15</f>
        <v>3.5</v>
      </c>
      <c r="F128" s="925"/>
      <c r="G128" s="851">
        <f>J117+G126</f>
        <v>5.66</v>
      </c>
      <c r="H128" s="851"/>
      <c r="I128" s="854">
        <f>G128-E128</f>
        <v>2.16</v>
      </c>
      <c r="J128" s="854"/>
      <c r="K128" s="927">
        <f>IF(K15="","",VLOOKUP(B128,$B$14:$Z$18,10,FALSE))</f>
        <v>18</v>
      </c>
      <c r="L128" s="927"/>
      <c r="M128" s="927"/>
      <c r="N128" s="870">
        <f>IF(N15="","",+VLOOKUP(B128,$B$14:$W$18,13,FALSE))</f>
        <v>0</v>
      </c>
      <c r="O128" s="870"/>
      <c r="P128" s="1035">
        <f>N128*I128</f>
        <v>0</v>
      </c>
      <c r="Q128" s="1035"/>
      <c r="R128" s="927">
        <f>IF(P15="","",+VLOOKUP(B128,$B$14:$W$18,15,FALSE))</f>
        <v>23</v>
      </c>
      <c r="S128" s="927"/>
      <c r="T128" s="927"/>
      <c r="U128" s="1216">
        <f>IF(U15="","",+VLOOKUP(B128,$B$14:$W$18,20,FALSE))</f>
        <v>10000</v>
      </c>
      <c r="V128" s="1216"/>
      <c r="W128" s="1216"/>
      <c r="X128" s="933"/>
      <c r="Y128" s="933"/>
      <c r="Z128" s="934"/>
      <c r="AA128" s="77"/>
      <c r="AB128" s="156"/>
      <c r="AD128" s="847">
        <f t="shared" si="12"/>
        <v>0.40139999999999998</v>
      </c>
      <c r="AE128" s="847"/>
      <c r="AF128" s="847"/>
      <c r="AG128" s="847">
        <f>+ROUND(TAN(AD128)*I128,5)</f>
        <v>0.91679999999999995</v>
      </c>
      <c r="AH128" s="847"/>
      <c r="AI128" s="847"/>
    </row>
    <row r="129" spans="1:55" ht="17.25" customHeight="1">
      <c r="A129" s="6"/>
      <c r="B129" s="922" t="str">
        <f t="shared" si="13"/>
        <v>풍화암</v>
      </c>
      <c r="C129" s="923"/>
      <c r="D129" s="923"/>
      <c r="E129" s="925">
        <f>+D16</f>
        <v>6.7</v>
      </c>
      <c r="F129" s="925"/>
      <c r="G129" s="851">
        <v>6.7</v>
      </c>
      <c r="H129" s="851"/>
      <c r="I129" s="854">
        <f>G129-E129</f>
        <v>0</v>
      </c>
      <c r="J129" s="854"/>
      <c r="K129" s="927">
        <f>IF(K16="","",VLOOKUP(B129,$B$14:$Z$18,10,FALSE))</f>
        <v>20</v>
      </c>
      <c r="L129" s="927"/>
      <c r="M129" s="927"/>
      <c r="N129" s="870">
        <f>IF(N16="","",+VLOOKUP(B129,$B$14:$W$18,13,FALSE))</f>
        <v>20</v>
      </c>
      <c r="O129" s="870"/>
      <c r="P129" s="1035">
        <f>N129*I129</f>
        <v>0</v>
      </c>
      <c r="Q129" s="1035"/>
      <c r="R129" s="927">
        <f>IF(P16="","",+VLOOKUP(B129,$B$14:$W$18,15,FALSE))</f>
        <v>30</v>
      </c>
      <c r="S129" s="927"/>
      <c r="T129" s="927"/>
      <c r="U129" s="1216">
        <f>IF(U16="","",+VLOOKUP(B129,$B$14:$W$18,20,FALSE))</f>
        <v>700000.00000000012</v>
      </c>
      <c r="V129" s="1216"/>
      <c r="W129" s="1216"/>
      <c r="X129" s="933"/>
      <c r="Y129" s="933"/>
      <c r="Z129" s="934"/>
      <c r="AA129" s="77"/>
      <c r="AB129" s="9"/>
      <c r="AC129" s="2"/>
      <c r="AD129" s="847">
        <f t="shared" si="12"/>
        <v>0.52359999999999995</v>
      </c>
      <c r="AE129" s="847"/>
      <c r="AF129" s="847"/>
      <c r="AG129" s="847">
        <f>+ROUND(TAN(AD129)*I129,5)</f>
        <v>0</v>
      </c>
      <c r="AH129" s="847"/>
      <c r="AI129" s="847"/>
    </row>
    <row r="130" spans="1:55" ht="17.25" customHeight="1">
      <c r="A130" s="6"/>
      <c r="B130" s="922"/>
      <c r="C130" s="923"/>
      <c r="D130" s="923"/>
      <c r="E130" s="925"/>
      <c r="F130" s="925"/>
      <c r="G130" s="851"/>
      <c r="H130" s="851"/>
      <c r="I130" s="854"/>
      <c r="J130" s="854"/>
      <c r="K130" s="927"/>
      <c r="L130" s="927"/>
      <c r="M130" s="927"/>
      <c r="N130" s="870"/>
      <c r="O130" s="870"/>
      <c r="P130" s="1035"/>
      <c r="Q130" s="1035"/>
      <c r="R130" s="927"/>
      <c r="S130" s="927"/>
      <c r="T130" s="927"/>
      <c r="U130" s="1216"/>
      <c r="V130" s="1216"/>
      <c r="W130" s="1216"/>
      <c r="X130" s="933"/>
      <c r="Y130" s="933"/>
      <c r="Z130" s="934"/>
      <c r="AA130" s="77"/>
      <c r="AB130" s="9"/>
      <c r="AC130" s="2"/>
      <c r="AD130" s="847">
        <f t="shared" si="12"/>
        <v>0</v>
      </c>
      <c r="AE130" s="847"/>
      <c r="AF130" s="847"/>
      <c r="AG130" s="847">
        <f>+ROUND(TAN(AD130)*I130,4)</f>
        <v>0</v>
      </c>
      <c r="AH130" s="847"/>
      <c r="AI130" s="847"/>
      <c r="AV130" s="5"/>
      <c r="AW130" s="5"/>
      <c r="AX130" s="3"/>
      <c r="AY130" s="3"/>
    </row>
    <row r="131" spans="1:55" ht="18" customHeight="1">
      <c r="A131" s="6"/>
      <c r="B131" s="922"/>
      <c r="C131" s="923"/>
      <c r="D131" s="923"/>
      <c r="E131" s="1040"/>
      <c r="F131" s="1040"/>
      <c r="G131" s="856"/>
      <c r="H131" s="856"/>
      <c r="I131" s="855"/>
      <c r="J131" s="855"/>
      <c r="K131" s="927"/>
      <c r="L131" s="927"/>
      <c r="M131" s="927"/>
      <c r="N131" s="870"/>
      <c r="O131" s="870"/>
      <c r="P131" s="1035"/>
      <c r="Q131" s="1035"/>
      <c r="R131" s="927"/>
      <c r="S131" s="927"/>
      <c r="T131" s="927"/>
      <c r="U131" s="1216"/>
      <c r="V131" s="1216"/>
      <c r="W131" s="1216"/>
      <c r="X131" s="933"/>
      <c r="Y131" s="933"/>
      <c r="Z131" s="934"/>
      <c r="AA131" s="77"/>
      <c r="AB131" s="9"/>
      <c r="AC131" s="2"/>
      <c r="AD131" s="847">
        <f t="shared" si="12"/>
        <v>0</v>
      </c>
      <c r="AE131" s="847"/>
      <c r="AF131" s="847"/>
      <c r="AG131" s="847">
        <f>+ROUND(TAN(AD131)*I131,4)</f>
        <v>0</v>
      </c>
      <c r="AH131" s="847"/>
      <c r="AI131" s="847"/>
      <c r="AV131" s="5"/>
      <c r="AW131" s="5"/>
      <c r="AX131" s="3"/>
      <c r="AY131" s="3"/>
    </row>
    <row r="132" spans="1:55" ht="17.25" customHeight="1">
      <c r="A132" s="6"/>
      <c r="B132" s="1183" t="s">
        <v>77</v>
      </c>
      <c r="C132" s="858"/>
      <c r="D132" s="858"/>
      <c r="E132" s="858"/>
      <c r="F132" s="858"/>
      <c r="G132" s="858"/>
      <c r="H132" s="858"/>
      <c r="I132" s="857">
        <f>ROUND(SUM(I126:J131),2)</f>
        <v>3.9</v>
      </c>
      <c r="J132" s="857"/>
      <c r="K132" s="1226"/>
      <c r="L132" s="1226"/>
      <c r="M132" s="1226"/>
      <c r="N132" s="1299"/>
      <c r="O132" s="1299"/>
      <c r="P132" s="1300">
        <f>SUM(P126:Q131)</f>
        <v>0</v>
      </c>
      <c r="Q132" s="1301"/>
      <c r="R132" s="1302"/>
      <c r="S132" s="1302"/>
      <c r="T132" s="1302"/>
      <c r="U132" s="1270"/>
      <c r="V132" s="1270"/>
      <c r="W132" s="1270"/>
      <c r="X132" s="1271"/>
      <c r="Y132" s="1271"/>
      <c r="Z132" s="1272"/>
      <c r="AA132" s="77"/>
      <c r="AC132" s="2"/>
      <c r="AD132" s="1297" t="s">
        <v>522</v>
      </c>
      <c r="AE132" s="1298"/>
      <c r="AF132" s="1298"/>
      <c r="AG132" s="847">
        <f>SUM(AG126:AG131)</f>
        <v>1.5847</v>
      </c>
      <c r="AH132" s="847"/>
      <c r="AI132" s="847"/>
      <c r="AV132" s="5"/>
      <c r="AW132" s="5"/>
      <c r="AX132" s="3"/>
      <c r="AY132" s="3"/>
    </row>
    <row r="133" spans="1:55" ht="17.25" customHeight="1">
      <c r="A133" s="6"/>
      <c r="B133" s="147"/>
      <c r="C133" s="147"/>
      <c r="D133" s="147"/>
      <c r="E133" s="147"/>
      <c r="F133" s="147"/>
      <c r="G133" s="147"/>
      <c r="H133" s="148"/>
      <c r="I133" s="148"/>
      <c r="J133" s="148"/>
      <c r="K133" s="77"/>
      <c r="L133" s="77"/>
      <c r="M133" s="77"/>
      <c r="N133" s="74"/>
      <c r="O133" s="74"/>
      <c r="P133" s="607"/>
      <c r="Q133" s="607"/>
      <c r="R133" s="77"/>
      <c r="S133" s="77"/>
      <c r="T133" s="589"/>
      <c r="U133" s="589"/>
      <c r="V133" s="589"/>
      <c r="W133" s="155"/>
      <c r="X133" s="155"/>
      <c r="Y133" s="155"/>
      <c r="Z133" s="155"/>
      <c r="AA133" s="155"/>
      <c r="AD133" s="847" t="s">
        <v>81</v>
      </c>
      <c r="AE133" s="847"/>
      <c r="AF133" s="847"/>
      <c r="AG133" s="847">
        <f>ROUND(+AG132/I132,5)</f>
        <v>0.40633000000000002</v>
      </c>
      <c r="AH133" s="847"/>
      <c r="AI133" s="847"/>
      <c r="AV133" s="5"/>
      <c r="AW133" s="5"/>
      <c r="AX133" s="3"/>
      <c r="AY133" s="3"/>
    </row>
    <row r="134" spans="1:55" ht="17.25" customHeight="1">
      <c r="A134" s="6"/>
      <c r="C134" s="157"/>
      <c r="D134" s="158"/>
      <c r="E134" s="158"/>
      <c r="F134" s="157"/>
      <c r="G134" s="158"/>
      <c r="H134" s="73" t="s">
        <v>176</v>
      </c>
      <c r="J134" s="76"/>
      <c r="L134" s="76"/>
      <c r="M134" s="76"/>
      <c r="N134" s="74" t="s">
        <v>89</v>
      </c>
      <c r="O134" s="77"/>
      <c r="P134" s="73" t="str">
        <f>P132&amp;" / ("&amp;I132&amp;")"</f>
        <v>0 / (3.9)</v>
      </c>
      <c r="Q134" s="77"/>
      <c r="R134" s="77"/>
      <c r="S134" s="77"/>
      <c r="T134" s="119" t="s">
        <v>90</v>
      </c>
      <c r="U134" s="1268">
        <f>+ROUND($P$132/($I$132),2)</f>
        <v>0</v>
      </c>
      <c r="V134" s="1268"/>
      <c r="W134" s="1268"/>
      <c r="X134" s="77"/>
      <c r="Y134" s="77"/>
      <c r="Z134" s="85"/>
      <c r="AA134" s="85"/>
      <c r="AD134" s="1265" t="s">
        <v>174</v>
      </c>
      <c r="AE134" s="1266"/>
      <c r="AF134" s="1267"/>
      <c r="AG134" s="1294">
        <f>+ROUND(ATAN(AG133),3)</f>
        <v>0.38600000000000001</v>
      </c>
      <c r="AH134" s="1295"/>
      <c r="AI134" s="1296"/>
      <c r="AV134" s="5"/>
      <c r="AW134" s="5"/>
      <c r="AX134" s="3"/>
      <c r="AY134" s="3"/>
    </row>
    <row r="135" spans="1:55" ht="18" customHeight="1">
      <c r="A135" s="6"/>
      <c r="C135" s="157"/>
      <c r="D135" s="158"/>
      <c r="E135" s="158"/>
      <c r="F135" s="157"/>
      <c r="G135" s="158"/>
      <c r="H135" s="73" t="s">
        <v>94</v>
      </c>
      <c r="I135" s="74"/>
      <c r="J135" s="76"/>
      <c r="K135" s="161"/>
      <c r="L135" s="162"/>
      <c r="M135" s="162"/>
      <c r="N135" s="163"/>
      <c r="O135" s="163"/>
      <c r="P135" s="163"/>
      <c r="Q135" s="77"/>
      <c r="R135" s="77"/>
      <c r="S135" s="77"/>
      <c r="T135" s="119" t="s">
        <v>90</v>
      </c>
      <c r="U135" s="1268">
        <f>+AG135</f>
        <v>22.12</v>
      </c>
      <c r="V135" s="1268"/>
      <c r="W135" s="1268"/>
      <c r="X135" s="163" t="s">
        <v>95</v>
      </c>
      <c r="Y135" s="163"/>
      <c r="AA135" s="163"/>
      <c r="AD135" s="1269" t="s">
        <v>175</v>
      </c>
      <c r="AE135" s="1269"/>
      <c r="AF135" s="1269"/>
      <c r="AG135" s="1269">
        <f>ROUND(DEGREES(AG134),2)</f>
        <v>22.12</v>
      </c>
      <c r="AH135" s="1269"/>
      <c r="AI135" s="1269"/>
      <c r="AV135" s="5"/>
      <c r="AW135" s="5"/>
      <c r="AX135" s="3"/>
      <c r="AY135" s="3"/>
    </row>
    <row r="136" spans="1:55" ht="18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162"/>
      <c r="M136" s="162"/>
      <c r="N136" s="163"/>
      <c r="O136" s="163"/>
      <c r="P136" s="163"/>
      <c r="Q136" s="77"/>
      <c r="R136" s="77"/>
      <c r="S136" s="77"/>
      <c r="T136" s="119"/>
      <c r="U136" s="168"/>
      <c r="V136" s="168"/>
      <c r="W136" s="168"/>
      <c r="X136" s="163"/>
      <c r="Y136" s="77"/>
      <c r="Z136" s="85"/>
      <c r="AA136" s="85"/>
      <c r="AB136" s="62"/>
      <c r="AT136" s="5"/>
      <c r="AV136" s="5"/>
      <c r="AW136" s="5"/>
      <c r="AX136" s="3"/>
      <c r="AY136" s="3"/>
    </row>
    <row r="137" spans="1:55" ht="18" customHeight="1">
      <c r="A137" s="6"/>
      <c r="B137" s="608" t="s">
        <v>587</v>
      </c>
      <c r="C137" s="461" t="s">
        <v>588</v>
      </c>
      <c r="D137" s="181"/>
      <c r="E137" s="181"/>
      <c r="F137" s="181"/>
      <c r="G137" s="181"/>
      <c r="H137" s="191"/>
      <c r="I137" s="191"/>
      <c r="J137" s="191"/>
      <c r="K137" s="77"/>
      <c r="L137" s="77"/>
      <c r="M137" s="77"/>
      <c r="N137" s="82"/>
      <c r="O137" s="82"/>
      <c r="P137" s="192"/>
      <c r="Q137" s="192"/>
      <c r="R137" s="77"/>
      <c r="S137" s="77"/>
      <c r="T137" s="77"/>
      <c r="U137" s="77"/>
      <c r="V137" s="77"/>
      <c r="W137" s="193"/>
      <c r="X137" s="193"/>
      <c r="Y137" s="193"/>
      <c r="Z137" s="77"/>
      <c r="AA137" s="77"/>
      <c r="AB137" s="62"/>
      <c r="AC137" s="9"/>
      <c r="AD137" s="73"/>
      <c r="AE137" s="76"/>
      <c r="AF137" s="6"/>
      <c r="AG137" s="6"/>
      <c r="AH137" s="76"/>
      <c r="AI137" s="74"/>
      <c r="AJ137" s="1068"/>
      <c r="AK137" s="1068"/>
      <c r="AL137" s="76"/>
      <c r="AM137" s="119"/>
      <c r="AN137" s="1280"/>
      <c r="AO137" s="1280"/>
      <c r="AP137" s="1280"/>
      <c r="AQ137" s="77"/>
      <c r="AR137" s="77"/>
      <c r="AS137" s="77"/>
      <c r="AT137" s="77"/>
      <c r="AV137" s="5"/>
      <c r="AW137" s="5"/>
      <c r="AX137" s="3"/>
      <c r="AY137" s="3"/>
    </row>
    <row r="138" spans="1:55" ht="18" customHeight="1">
      <c r="A138" s="6"/>
      <c r="B138" s="76"/>
      <c r="C138" s="73" t="s">
        <v>856</v>
      </c>
      <c r="D138" s="6"/>
      <c r="E138" s="6"/>
      <c r="F138" s="76"/>
      <c r="G138" s="1037">
        <f>+N5</f>
        <v>1.1599999999999999</v>
      </c>
      <c r="H138" s="1037"/>
      <c r="I138" s="74"/>
      <c r="J138" s="76"/>
      <c r="K138" s="161"/>
      <c r="L138" s="76"/>
      <c r="M138" s="76"/>
      <c r="N138" s="77" t="s">
        <v>857</v>
      </c>
      <c r="O138" s="77"/>
      <c r="P138" s="77"/>
      <c r="Q138" s="77"/>
      <c r="R138" s="77"/>
      <c r="S138" s="1068" t="str">
        <f>IF(AG39=AG40,"",AG44)</f>
        <v/>
      </c>
      <c r="T138" s="1068"/>
      <c r="U138" s="77"/>
      <c r="V138" s="77"/>
      <c r="W138" s="77"/>
      <c r="X138" s="119"/>
      <c r="Y138" s="129"/>
      <c r="Z138" s="129"/>
      <c r="AA138" s="129"/>
      <c r="AB138" s="62"/>
      <c r="AC138" s="2"/>
      <c r="AT138" s="5"/>
      <c r="AV138" s="5"/>
      <c r="AW138" s="5"/>
      <c r="AX138" s="3"/>
      <c r="AY138" s="3"/>
      <c r="BB138" s="85"/>
      <c r="BC138" s="85"/>
    </row>
    <row r="139" spans="1:55" ht="18" customHeight="1" thickBot="1">
      <c r="A139" s="6"/>
      <c r="B139" s="609"/>
      <c r="C139" s="610"/>
      <c r="D139" s="610"/>
      <c r="E139" s="610"/>
      <c r="F139" s="610"/>
      <c r="G139" s="610"/>
      <c r="H139" s="611"/>
      <c r="I139" s="610"/>
      <c r="J139" s="610"/>
      <c r="K139" s="610"/>
      <c r="L139" s="610"/>
      <c r="M139" s="610"/>
      <c r="N139" s="610"/>
      <c r="O139" s="610"/>
      <c r="P139" s="610" t="s">
        <v>855</v>
      </c>
      <c r="Q139" s="610"/>
      <c r="R139" s="610"/>
      <c r="S139" s="610"/>
      <c r="T139" s="610"/>
      <c r="U139" s="611"/>
      <c r="V139" s="610"/>
      <c r="W139" s="610"/>
      <c r="X139" s="610"/>
      <c r="Y139" s="610"/>
      <c r="Z139" s="610"/>
      <c r="AA139" s="46"/>
      <c r="AB139" s="62"/>
      <c r="AC139" s="170"/>
      <c r="AT139" s="5"/>
      <c r="AV139" s="5"/>
      <c r="AW139" s="5"/>
      <c r="AX139" s="3"/>
      <c r="AY139" s="3"/>
    </row>
    <row r="140" spans="1:55" ht="18" customHeight="1">
      <c r="A140" s="6"/>
      <c r="B140" s="609"/>
      <c r="C140" s="610"/>
      <c r="D140" s="610"/>
      <c r="E140" s="610"/>
      <c r="F140" s="612"/>
      <c r="G140" s="610"/>
      <c r="H140" s="611"/>
      <c r="I140" s="610"/>
      <c r="J140" s="610"/>
      <c r="K140" s="610"/>
      <c r="L140" s="610"/>
      <c r="M140" s="610"/>
      <c r="N140" s="612"/>
      <c r="O140" s="610"/>
      <c r="P140" s="610"/>
      <c r="Q140" s="610"/>
      <c r="R140" s="610"/>
      <c r="S140" s="610"/>
      <c r="T140" s="610"/>
      <c r="U140" s="611"/>
      <c r="V140" s="612"/>
      <c r="W140" s="610"/>
      <c r="X140" s="610"/>
      <c r="Y140" s="610"/>
      <c r="Z140" s="610"/>
      <c r="AA140" s="46"/>
      <c r="AB140" s="62"/>
      <c r="AC140" s="170"/>
      <c r="AU140" s="5"/>
      <c r="AX140" s="3"/>
      <c r="AY140" s="3"/>
    </row>
    <row r="141" spans="1:55" ht="18" customHeight="1" thickBot="1">
      <c r="A141" s="6"/>
      <c r="B141" s="609"/>
      <c r="C141" s="609"/>
      <c r="D141" s="610"/>
      <c r="E141" s="610"/>
      <c r="F141" s="613"/>
      <c r="G141" s="610"/>
      <c r="H141" s="610"/>
      <c r="I141" s="611"/>
      <c r="J141" s="610"/>
      <c r="K141" s="610"/>
      <c r="L141" s="610"/>
      <c r="M141" s="610"/>
      <c r="N141" s="613"/>
      <c r="O141" s="610"/>
      <c r="P141" s="610"/>
      <c r="Q141" s="610"/>
      <c r="R141" s="610"/>
      <c r="S141" s="610"/>
      <c r="T141" s="610"/>
      <c r="U141" s="610"/>
      <c r="V141" s="613"/>
      <c r="W141" s="610"/>
      <c r="X141" s="610"/>
      <c r="Y141" s="610"/>
      <c r="Z141" s="610"/>
      <c r="AA141" s="46"/>
      <c r="AB141" s="62"/>
      <c r="AC141" s="170"/>
      <c r="AL141" s="452"/>
      <c r="AM141" s="452"/>
      <c r="AU141" s="77"/>
      <c r="BA141" s="77"/>
    </row>
    <row r="142" spans="1:55" ht="17.25" customHeight="1" thickBot="1">
      <c r="A142" s="6"/>
      <c r="B142" s="1047" t="s">
        <v>589</v>
      </c>
      <c r="C142" s="614"/>
      <c r="D142" s="615"/>
      <c r="E142" s="615"/>
      <c r="F142" s="616"/>
      <c r="G142" s="615"/>
      <c r="H142" s="615"/>
      <c r="I142" s="1047" t="s">
        <v>590</v>
      </c>
      <c r="J142" s="615"/>
      <c r="K142" s="615"/>
      <c r="L142" s="615"/>
      <c r="M142" s="615"/>
      <c r="N142" s="616"/>
      <c r="O142" s="615"/>
      <c r="P142" s="615"/>
      <c r="Q142" s="1047" t="s">
        <v>591</v>
      </c>
      <c r="R142" s="615"/>
      <c r="S142" s="615"/>
      <c r="T142" s="615"/>
      <c r="U142" s="615"/>
      <c r="V142" s="616"/>
      <c r="W142" s="615"/>
      <c r="X142" s="615"/>
      <c r="Y142" s="615"/>
      <c r="Z142" s="615"/>
      <c r="AA142" s="46"/>
      <c r="AB142" s="62"/>
      <c r="AC142" s="170"/>
      <c r="AX142" s="3"/>
      <c r="AY142" s="3"/>
    </row>
    <row r="143" spans="1:55" ht="17.25" customHeight="1">
      <c r="A143" s="6"/>
      <c r="B143" s="1048"/>
      <c r="C143" s="610"/>
      <c r="D143" s="610"/>
      <c r="E143" s="617"/>
      <c r="F143" s="610"/>
      <c r="G143" s="618"/>
      <c r="H143" s="610"/>
      <c r="I143" s="1009"/>
      <c r="J143" s="610"/>
      <c r="K143" s="610"/>
      <c r="L143" s="610"/>
      <c r="M143" s="617"/>
      <c r="N143" s="610"/>
      <c r="O143" s="618"/>
      <c r="P143" s="610"/>
      <c r="Q143" s="848"/>
      <c r="R143" s="610"/>
      <c r="S143" s="610"/>
      <c r="T143" s="610"/>
      <c r="U143" s="617"/>
      <c r="V143" s="610"/>
      <c r="W143" s="618"/>
      <c r="X143" s="610"/>
      <c r="Y143" s="610"/>
      <c r="Z143" s="610"/>
      <c r="AA143" s="46"/>
      <c r="AB143" s="178"/>
      <c r="AC143" s="170"/>
      <c r="AX143" s="3"/>
      <c r="AY143" s="3"/>
    </row>
    <row r="144" spans="1:55" ht="17.25" customHeight="1" thickBot="1">
      <c r="A144" s="6"/>
      <c r="B144" s="620"/>
      <c r="C144" s="620"/>
      <c r="D144" s="621"/>
      <c r="E144" s="622"/>
      <c r="F144" s="623"/>
      <c r="G144" s="624"/>
      <c r="H144" s="625"/>
      <c r="I144" s="626"/>
      <c r="J144" s="610"/>
      <c r="K144" s="848" t="s">
        <v>589</v>
      </c>
      <c r="L144" s="610"/>
      <c r="M144" s="622"/>
      <c r="N144" s="623"/>
      <c r="O144" s="624"/>
      <c r="P144" s="610"/>
      <c r="Q144" s="848"/>
      <c r="R144" s="610"/>
      <c r="S144" s="610"/>
      <c r="T144" s="610"/>
      <c r="U144" s="622"/>
      <c r="V144" s="623"/>
      <c r="W144" s="624"/>
      <c r="X144" s="610"/>
      <c r="Y144" s="610"/>
      <c r="Z144" s="610"/>
      <c r="AA144" s="46"/>
      <c r="AB144" s="178"/>
      <c r="AC144" s="170"/>
    </row>
    <row r="145" spans="1:94" ht="17.25" customHeight="1">
      <c r="A145" s="6"/>
      <c r="B145" s="609"/>
      <c r="C145" s="610"/>
      <c r="D145" s="610"/>
      <c r="E145" s="610"/>
      <c r="F145" s="610"/>
      <c r="G145" s="610"/>
      <c r="H145" s="611"/>
      <c r="I145" s="610"/>
      <c r="J145" s="610"/>
      <c r="K145" s="848"/>
      <c r="L145" s="610"/>
      <c r="M145" s="610"/>
      <c r="N145" s="610"/>
      <c r="O145" s="610"/>
      <c r="P145" s="610"/>
      <c r="Q145" s="610"/>
      <c r="R145" s="610"/>
      <c r="S145" s="610"/>
      <c r="T145" s="610"/>
      <c r="U145" s="611"/>
      <c r="V145" s="610"/>
      <c r="W145" s="610"/>
      <c r="X145" s="610"/>
      <c r="Y145" s="848" t="s">
        <v>592</v>
      </c>
      <c r="Z145" s="848"/>
      <c r="AA145" s="46"/>
      <c r="AB145" s="188"/>
      <c r="AC145" s="170"/>
    </row>
    <row r="146" spans="1:94" ht="17.25" customHeight="1">
      <c r="A146" s="6"/>
      <c r="B146" s="609"/>
      <c r="C146" s="610"/>
      <c r="D146" s="610"/>
      <c r="E146" s="610"/>
      <c r="F146" s="848" t="s">
        <v>593</v>
      </c>
      <c r="G146" s="610"/>
      <c r="H146" s="611"/>
      <c r="I146" s="610"/>
      <c r="J146" s="610"/>
      <c r="K146" s="848"/>
      <c r="L146" s="610"/>
      <c r="M146" s="610"/>
      <c r="N146" s="848" t="s">
        <v>593</v>
      </c>
      <c r="O146" s="610"/>
      <c r="P146" s="610"/>
      <c r="Q146" s="610"/>
      <c r="R146" s="610"/>
      <c r="S146" s="848" t="s">
        <v>589</v>
      </c>
      <c r="T146" s="610"/>
      <c r="U146" s="611"/>
      <c r="V146" s="848" t="s">
        <v>593</v>
      </c>
      <c r="W146" s="610"/>
      <c r="X146" s="610"/>
      <c r="Y146" s="848"/>
      <c r="Z146" s="848"/>
      <c r="AA146" s="46"/>
      <c r="AB146" s="188"/>
      <c r="AC146" s="170"/>
    </row>
    <row r="147" spans="1:94" ht="17.25" customHeight="1">
      <c r="A147" s="6"/>
      <c r="B147" s="609"/>
      <c r="C147" s="610"/>
      <c r="D147" s="610"/>
      <c r="E147" s="610"/>
      <c r="F147" s="848"/>
      <c r="G147" s="610"/>
      <c r="H147" s="611"/>
      <c r="I147" s="848" t="s">
        <v>594</v>
      </c>
      <c r="J147" s="610"/>
      <c r="K147" s="610"/>
      <c r="L147" s="610"/>
      <c r="M147" s="610"/>
      <c r="N147" s="848"/>
      <c r="O147" s="610"/>
      <c r="P147" s="610"/>
      <c r="Q147" s="610"/>
      <c r="R147" s="610"/>
      <c r="S147" s="848"/>
      <c r="T147" s="610"/>
      <c r="U147" s="611"/>
      <c r="V147" s="848"/>
      <c r="W147" s="610"/>
      <c r="X147" s="610"/>
      <c r="Y147" s="848"/>
      <c r="Z147" s="848"/>
      <c r="AA147" s="46"/>
      <c r="AB147" s="2"/>
      <c r="AC147" s="170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</row>
    <row r="148" spans="1:94" ht="17.25" customHeight="1">
      <c r="A148" s="6"/>
      <c r="B148" s="609"/>
      <c r="C148" s="610"/>
      <c r="D148" s="610"/>
      <c r="E148" s="610"/>
      <c r="F148" s="610"/>
      <c r="G148" s="610"/>
      <c r="H148" s="611"/>
      <c r="I148" s="848"/>
      <c r="J148" s="610"/>
      <c r="K148" s="610"/>
      <c r="L148" s="610"/>
      <c r="M148" s="610"/>
      <c r="N148" s="610"/>
      <c r="O148" s="610"/>
      <c r="P148" s="610"/>
      <c r="Q148" s="610"/>
      <c r="R148" s="610"/>
      <c r="S148" s="848"/>
      <c r="T148" s="610"/>
      <c r="U148" s="611"/>
      <c r="V148" s="610"/>
      <c r="W148" s="610"/>
      <c r="X148" s="610"/>
      <c r="Y148" s="610"/>
      <c r="Z148" s="610"/>
      <c r="AA148" s="46"/>
      <c r="AB148" s="2"/>
      <c r="AC148" s="170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</row>
    <row r="149" spans="1:94" ht="17.25" customHeight="1">
      <c r="A149" s="6"/>
      <c r="B149" s="1049" t="s">
        <v>595</v>
      </c>
      <c r="C149" s="1050"/>
      <c r="D149" s="1050"/>
      <c r="E149" s="1050"/>
      <c r="F149" s="610"/>
      <c r="G149" s="610"/>
      <c r="H149" s="611"/>
      <c r="I149" s="610"/>
      <c r="J149" s="610"/>
      <c r="K149" s="620"/>
      <c r="L149" s="620"/>
      <c r="M149" s="620"/>
      <c r="N149" s="620"/>
      <c r="O149" s="620"/>
      <c r="P149" s="620"/>
      <c r="Q149" s="620"/>
      <c r="R149" s="610"/>
      <c r="S149" s="610"/>
      <c r="T149" s="610"/>
      <c r="U149" s="611"/>
      <c r="V149" s="610"/>
      <c r="W149" s="610"/>
      <c r="X149" s="610"/>
      <c r="Y149" s="610"/>
      <c r="Z149" s="610"/>
      <c r="AA149" s="46"/>
      <c r="AB149" s="2"/>
      <c r="AC149" s="170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</row>
    <row r="150" spans="1:94" ht="17.25" customHeight="1" thickBot="1">
      <c r="A150" s="6"/>
      <c r="B150" s="1051"/>
      <c r="C150" s="1051"/>
      <c r="D150" s="1051"/>
      <c r="E150" s="1051"/>
      <c r="F150" s="610"/>
      <c r="G150" s="610"/>
      <c r="H150" s="611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1"/>
      <c r="V150" s="610"/>
      <c r="W150" s="610"/>
      <c r="X150" s="610"/>
      <c r="Y150" s="610"/>
      <c r="Z150" s="610"/>
      <c r="AA150" s="46"/>
      <c r="AB150" s="2"/>
      <c r="AC150" s="170"/>
      <c r="BZ150" s="5"/>
      <c r="CL150" s="5"/>
      <c r="CM150" s="5"/>
      <c r="CN150" s="5"/>
    </row>
    <row r="151" spans="1:94" ht="17.25" customHeight="1">
      <c r="A151" s="6"/>
      <c r="B151" s="627"/>
      <c r="C151" s="628"/>
      <c r="D151" s="628"/>
      <c r="E151" s="628"/>
      <c r="F151" s="628"/>
      <c r="G151" s="628"/>
      <c r="H151" s="629"/>
      <c r="I151" s="628"/>
      <c r="J151" s="628"/>
      <c r="K151" s="628"/>
      <c r="L151" s="628"/>
      <c r="M151" s="628"/>
      <c r="N151" s="628"/>
      <c r="O151" s="628"/>
      <c r="P151" s="628"/>
      <c r="Q151" s="628"/>
      <c r="R151" s="628"/>
      <c r="S151" s="628"/>
      <c r="T151" s="628"/>
      <c r="U151" s="629"/>
      <c r="V151" s="628"/>
      <c r="W151" s="628"/>
      <c r="X151" s="628"/>
      <c r="Y151" s="628"/>
      <c r="Z151" s="628"/>
      <c r="AA151" s="46"/>
      <c r="AB151" s="62"/>
      <c r="AC151" s="170"/>
      <c r="BN151" s="5"/>
      <c r="BO151" s="5"/>
      <c r="BP151" s="5"/>
      <c r="BQ151" s="5"/>
      <c r="BR151" s="5"/>
      <c r="CN151" s="5"/>
      <c r="CO151" s="5"/>
    </row>
    <row r="152" spans="1:94" ht="17.25" customHeight="1">
      <c r="A152" s="6"/>
      <c r="B152" s="609"/>
      <c r="C152" s="610"/>
      <c r="D152" s="610"/>
      <c r="E152" s="610"/>
      <c r="F152" s="610"/>
      <c r="G152" s="610"/>
      <c r="H152" s="611"/>
      <c r="I152" s="610"/>
      <c r="J152" s="610"/>
      <c r="K152" s="610"/>
      <c r="L152" s="610"/>
      <c r="M152" s="610"/>
      <c r="N152" s="610"/>
      <c r="O152" s="610"/>
      <c r="P152" s="610"/>
      <c r="Q152" s="610"/>
      <c r="R152" s="610"/>
      <c r="S152" s="610"/>
      <c r="T152" s="610"/>
      <c r="U152" s="610"/>
      <c r="V152" s="610"/>
      <c r="W152" s="610"/>
      <c r="X152" s="610"/>
      <c r="Y152" s="610"/>
      <c r="Z152" s="610"/>
      <c r="AA152" s="46"/>
      <c r="AB152" s="61"/>
      <c r="AC152" s="170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CN152" s="5"/>
      <c r="CO152" s="5"/>
      <c r="CP152" s="5"/>
    </row>
    <row r="153" spans="1:94" s="5" customFormat="1" ht="7.5" customHeight="1">
      <c r="A153" s="6"/>
      <c r="B153" s="609"/>
      <c r="C153" s="610"/>
      <c r="D153" s="610"/>
      <c r="E153" s="610"/>
      <c r="F153" s="610"/>
      <c r="G153" s="610"/>
      <c r="H153" s="611"/>
      <c r="I153" s="610"/>
      <c r="J153" s="610"/>
      <c r="K153" s="610"/>
      <c r="L153" s="610"/>
      <c r="M153" s="610"/>
      <c r="N153" s="610"/>
      <c r="O153" s="610"/>
      <c r="P153" s="610"/>
      <c r="Q153" s="610"/>
      <c r="R153" s="610"/>
      <c r="S153" s="620"/>
      <c r="T153" s="620"/>
      <c r="U153" s="620"/>
      <c r="V153" s="620"/>
      <c r="W153" s="620"/>
      <c r="X153" s="620"/>
      <c r="Y153" s="620"/>
      <c r="Z153" s="610"/>
      <c r="AA153" s="46"/>
      <c r="AB153" s="61"/>
      <c r="AC153" s="170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4" s="5" customFormat="1" ht="9" customHeight="1">
      <c r="A154" s="6"/>
      <c r="B154" s="609"/>
      <c r="C154" s="610"/>
      <c r="D154" s="610"/>
      <c r="E154" s="990" t="s">
        <v>596</v>
      </c>
      <c r="F154" s="990"/>
      <c r="G154" s="990"/>
      <c r="H154" s="611"/>
      <c r="I154" s="610"/>
      <c r="J154" s="610"/>
      <c r="K154" s="610"/>
      <c r="L154" s="610"/>
      <c r="M154" s="990" t="s">
        <v>597</v>
      </c>
      <c r="N154" s="990"/>
      <c r="O154" s="990"/>
      <c r="P154" s="610"/>
      <c r="Q154" s="610"/>
      <c r="R154" s="610"/>
      <c r="S154" s="610"/>
      <c r="T154" s="610"/>
      <c r="U154" s="990" t="s">
        <v>598</v>
      </c>
      <c r="V154" s="990"/>
      <c r="W154" s="990"/>
      <c r="X154" s="610"/>
      <c r="Y154" s="610"/>
      <c r="Z154" s="610"/>
      <c r="AA154" s="46"/>
      <c r="AB154" s="61"/>
      <c r="AC154" s="170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4" s="5" customFormat="1" ht="9" customHeight="1">
      <c r="A155" s="6"/>
      <c r="B155" s="609"/>
      <c r="C155" s="610"/>
      <c r="D155" s="610"/>
      <c r="E155" s="990"/>
      <c r="F155" s="990"/>
      <c r="G155" s="990"/>
      <c r="H155" s="611"/>
      <c r="I155" s="610"/>
      <c r="J155" s="610"/>
      <c r="K155" s="610"/>
      <c r="L155" s="610"/>
      <c r="M155" s="990"/>
      <c r="N155" s="990"/>
      <c r="O155" s="990"/>
      <c r="P155" s="610"/>
      <c r="Q155" s="610"/>
      <c r="R155" s="610"/>
      <c r="S155" s="610"/>
      <c r="T155" s="610"/>
      <c r="U155" s="990"/>
      <c r="V155" s="990"/>
      <c r="W155" s="990"/>
      <c r="X155" s="610"/>
      <c r="Y155" s="610"/>
      <c r="Z155" s="610"/>
      <c r="AA155" s="46"/>
      <c r="AB155" s="61"/>
      <c r="AC155" s="170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4" s="5" customFormat="1" ht="9" customHeight="1">
      <c r="A156" s="6"/>
      <c r="B156" s="609"/>
      <c r="C156" s="610"/>
      <c r="D156" s="610"/>
      <c r="E156" s="630"/>
      <c r="F156" s="630"/>
      <c r="G156" s="630"/>
      <c r="H156" s="611"/>
      <c r="I156" s="610"/>
      <c r="J156" s="610"/>
      <c r="K156" s="610"/>
      <c r="L156" s="610"/>
      <c r="M156" s="630"/>
      <c r="N156" s="630"/>
      <c r="O156" s="630"/>
      <c r="P156" s="610"/>
      <c r="Q156" s="610"/>
      <c r="R156" s="610"/>
      <c r="S156" s="610"/>
      <c r="T156" s="610"/>
      <c r="U156" s="630"/>
      <c r="V156" s="630"/>
      <c r="W156" s="630"/>
      <c r="X156" s="610"/>
      <c r="Y156" s="610"/>
      <c r="Z156" s="610"/>
      <c r="AA156" s="46"/>
      <c r="AB156" s="46"/>
      <c r="AC156" s="42"/>
      <c r="AU156" s="3"/>
      <c r="AV156" s="3"/>
      <c r="AW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4" s="5" customFormat="1" ht="15" customHeight="1">
      <c r="A157" s="6"/>
      <c r="B157" s="609"/>
      <c r="C157" s="610" t="s">
        <v>599</v>
      </c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46"/>
      <c r="AB157" s="42"/>
      <c r="AU157" s="3"/>
      <c r="AV157" s="3"/>
      <c r="AW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4" s="5" customFormat="1" ht="15" customHeight="1">
      <c r="A158" s="6"/>
      <c r="B158" s="609"/>
      <c r="C158" s="610"/>
      <c r="D158" s="611" t="s">
        <v>600</v>
      </c>
      <c r="E158" s="611" t="s">
        <v>601</v>
      </c>
      <c r="F158" s="610" t="s">
        <v>602</v>
      </c>
      <c r="G158" s="610"/>
      <c r="H158" s="610"/>
      <c r="I158" s="610"/>
      <c r="J158" s="610"/>
      <c r="K158" s="610"/>
      <c r="L158" s="610"/>
      <c r="M158" s="610"/>
      <c r="N158" s="610"/>
      <c r="O158" s="611" t="s">
        <v>601</v>
      </c>
      <c r="P158" s="862">
        <f>ABS(IF(V5&lt;N5,IF((G138-S138)&gt;V5,(K14-10)*S138,(G138-S138-V5)*K14+(K14-10)*(N5-V5)),"0"))</f>
        <v>0</v>
      </c>
      <c r="Q158" s="862"/>
      <c r="R158" s="862"/>
      <c r="S158" s="610" t="s">
        <v>603</v>
      </c>
      <c r="T158" s="610"/>
      <c r="U158" s="610"/>
      <c r="V158" s="610"/>
      <c r="W158" s="610" t="s">
        <v>604</v>
      </c>
      <c r="X158" s="610"/>
      <c r="Y158" s="610"/>
      <c r="Z158" s="610"/>
      <c r="AA158" s="46"/>
      <c r="AB158" s="42"/>
      <c r="AU158" s="3"/>
      <c r="AV158" s="3"/>
      <c r="AW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4" s="5" customFormat="1" ht="15" customHeight="1">
      <c r="A159" s="6"/>
      <c r="B159" s="609"/>
      <c r="C159" s="610"/>
      <c r="D159" s="611" t="s">
        <v>594</v>
      </c>
      <c r="E159" s="611" t="s">
        <v>601</v>
      </c>
      <c r="F159" s="611" t="s">
        <v>605</v>
      </c>
      <c r="G159" s="611" t="s">
        <v>601</v>
      </c>
      <c r="H159" s="610" t="s">
        <v>606</v>
      </c>
      <c r="I159" s="610"/>
      <c r="J159" s="610"/>
      <c r="K159" s="610"/>
      <c r="L159" s="610"/>
      <c r="M159" s="610"/>
      <c r="N159" s="610"/>
      <c r="O159" s="611" t="s">
        <v>601</v>
      </c>
      <c r="P159" s="862" t="str">
        <f>IF(V5&lt;=N5,K14-10,"0")</f>
        <v>0</v>
      </c>
      <c r="Q159" s="862"/>
      <c r="R159" s="862"/>
      <c r="S159" s="610" t="s">
        <v>607</v>
      </c>
      <c r="T159" s="610"/>
      <c r="U159" s="610"/>
      <c r="V159" s="610"/>
      <c r="W159" s="610" t="s">
        <v>608</v>
      </c>
      <c r="X159" s="610"/>
      <c r="Y159" s="610"/>
      <c r="Z159" s="610"/>
      <c r="AA159" s="46"/>
      <c r="AB159" s="42"/>
      <c r="AU159" s="3"/>
      <c r="AV159" s="3"/>
      <c r="AW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4" s="5" customFormat="1" ht="15" customHeight="1">
      <c r="A160" s="6"/>
      <c r="B160" s="609"/>
      <c r="C160" s="610" t="s">
        <v>609</v>
      </c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6"/>
      <c r="AB160" s="42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s="5" customFormat="1" ht="15" customHeight="1">
      <c r="A161" s="6"/>
      <c r="B161" s="609"/>
      <c r="C161" s="610"/>
      <c r="D161" s="611" t="s">
        <v>600</v>
      </c>
      <c r="E161" s="611" t="s">
        <v>601</v>
      </c>
      <c r="F161" s="610" t="s">
        <v>610</v>
      </c>
      <c r="G161" s="610"/>
      <c r="H161" s="610"/>
      <c r="I161" s="610"/>
      <c r="J161" s="610"/>
      <c r="K161" s="610"/>
      <c r="L161" s="610"/>
      <c r="M161" s="610"/>
      <c r="N161" s="610"/>
      <c r="O161" s="611" t="s">
        <v>601</v>
      </c>
      <c r="P161" s="862">
        <f>IF(AND(N5&lt;V5, V5&lt;N5+F5),IF(S138="",K14*N5,K14*(S138)),"0")</f>
        <v>20.88</v>
      </c>
      <c r="Q161" s="862"/>
      <c r="R161" s="862"/>
      <c r="S161" s="610" t="s">
        <v>603</v>
      </c>
      <c r="T161" s="610"/>
      <c r="U161" s="610"/>
      <c r="V161" s="610"/>
      <c r="W161" s="610" t="s">
        <v>604</v>
      </c>
      <c r="X161" s="610"/>
      <c r="Y161" s="610"/>
      <c r="Z161" s="610"/>
      <c r="AA161" s="46"/>
      <c r="AB161" s="42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s="5" customFormat="1" ht="15" customHeight="1">
      <c r="A162" s="6"/>
      <c r="B162" s="609"/>
      <c r="C162" s="610"/>
      <c r="D162" s="611" t="s">
        <v>594</v>
      </c>
      <c r="E162" s="611" t="s">
        <v>601</v>
      </c>
      <c r="F162" s="610" t="s">
        <v>611</v>
      </c>
      <c r="G162" s="610"/>
      <c r="H162" s="610"/>
      <c r="I162" s="610"/>
      <c r="J162" s="610"/>
      <c r="K162" s="610"/>
      <c r="L162" s="610"/>
      <c r="M162" s="610"/>
      <c r="N162" s="610"/>
      <c r="O162" s="611" t="s">
        <v>601</v>
      </c>
      <c r="P162" s="862">
        <f>IF(AND(N5&lt;V5, V5&lt;N5+F5),(K14*(V5-N5)+(K14-10)*(N5+F5-V5))  /  F5,"0")</f>
        <v>16.432432432432432</v>
      </c>
      <c r="Q162" s="862"/>
      <c r="R162" s="862"/>
      <c r="S162" s="610" t="s">
        <v>607</v>
      </c>
      <c r="T162" s="610"/>
      <c r="U162" s="610"/>
      <c r="V162" s="610"/>
      <c r="W162" s="610" t="s">
        <v>608</v>
      </c>
      <c r="X162" s="610"/>
      <c r="Y162" s="610"/>
      <c r="Z162" s="610"/>
      <c r="AA162" s="46"/>
      <c r="AB162" s="42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s="5" customFormat="1" ht="15" customHeight="1">
      <c r="A163" s="6"/>
      <c r="B163" s="609"/>
      <c r="C163" s="610" t="s">
        <v>612</v>
      </c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46"/>
      <c r="AB163" s="42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s="5" customFormat="1" ht="15" customHeight="1">
      <c r="A164" s="6"/>
      <c r="B164" s="609"/>
      <c r="C164" s="610"/>
      <c r="D164" s="611" t="s">
        <v>600</v>
      </c>
      <c r="E164" s="611" t="s">
        <v>601</v>
      </c>
      <c r="F164" s="610" t="s">
        <v>613</v>
      </c>
      <c r="G164" s="610"/>
      <c r="H164" s="610"/>
      <c r="I164" s="610"/>
      <c r="J164" s="610"/>
      <c r="K164" s="610"/>
      <c r="L164" s="610"/>
      <c r="M164" s="610"/>
      <c r="N164" s="610"/>
      <c r="O164" s="611" t="s">
        <v>601</v>
      </c>
      <c r="P164" s="862" t="str">
        <f>IF(V5&gt;F5+N5,IF(S138="",K14*N5,K14*(S138)),"0")</f>
        <v>0</v>
      </c>
      <c r="Q164" s="862"/>
      <c r="R164" s="862"/>
      <c r="S164" s="610" t="s">
        <v>603</v>
      </c>
      <c r="T164" s="610"/>
      <c r="U164" s="610"/>
      <c r="V164" s="610"/>
      <c r="W164" s="610" t="s">
        <v>604</v>
      </c>
      <c r="X164" s="610"/>
      <c r="Y164" s="610"/>
      <c r="Z164" s="610"/>
      <c r="AA164" s="46"/>
      <c r="AB164" s="42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 spans="1:91" s="5" customFormat="1" ht="15" customHeight="1">
      <c r="A165" s="6"/>
      <c r="B165" s="609"/>
      <c r="C165" s="610"/>
      <c r="D165" s="611" t="s">
        <v>594</v>
      </c>
      <c r="E165" s="611" t="s">
        <v>601</v>
      </c>
      <c r="F165" s="610" t="s">
        <v>614</v>
      </c>
      <c r="G165" s="610"/>
      <c r="H165" s="610"/>
      <c r="I165" s="610"/>
      <c r="J165" s="610"/>
      <c r="K165" s="610"/>
      <c r="L165" s="610"/>
      <c r="M165" s="610"/>
      <c r="N165" s="610"/>
      <c r="O165" s="611" t="s">
        <v>601</v>
      </c>
      <c r="P165" s="862" t="str">
        <f>IF(V5&gt;F5+N5,K14,"0")</f>
        <v>0</v>
      </c>
      <c r="Q165" s="862"/>
      <c r="R165" s="862"/>
      <c r="S165" s="610" t="s">
        <v>607</v>
      </c>
      <c r="T165" s="610"/>
      <c r="U165" s="610"/>
      <c r="V165" s="610"/>
      <c r="W165" s="610" t="s">
        <v>608</v>
      </c>
      <c r="X165" s="610"/>
      <c r="Y165" s="610"/>
      <c r="Z165" s="610"/>
      <c r="AA165" s="46"/>
      <c r="AB165" s="42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s="5" customFormat="1" ht="15" customHeight="1">
      <c r="A166" s="6"/>
      <c r="B166" s="609"/>
      <c r="C166" s="610"/>
      <c r="D166" s="611"/>
      <c r="E166" s="611"/>
      <c r="F166" s="610"/>
      <c r="G166" s="610"/>
      <c r="H166" s="610"/>
      <c r="I166" s="610"/>
      <c r="J166" s="610"/>
      <c r="K166" s="610"/>
      <c r="L166" s="610"/>
      <c r="M166" s="610"/>
      <c r="N166" s="610"/>
      <c r="O166" s="611"/>
      <c r="P166" s="631"/>
      <c r="Q166" s="631"/>
      <c r="R166" s="631"/>
      <c r="S166" s="610"/>
      <c r="T166" s="610"/>
      <c r="U166" s="610"/>
      <c r="V166" s="610"/>
      <c r="W166" s="610"/>
      <c r="X166" s="610"/>
      <c r="Y166" s="610"/>
      <c r="Z166" s="610"/>
      <c r="AA166" s="46"/>
      <c r="AB166" s="42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s="5" customFormat="1" ht="15" customHeight="1">
      <c r="A167" s="6"/>
      <c r="B167" s="76"/>
      <c r="C167" s="633" t="s">
        <v>618</v>
      </c>
      <c r="D167" s="630" t="s">
        <v>616</v>
      </c>
      <c r="E167" s="630" t="s">
        <v>601</v>
      </c>
      <c r="F167" s="1036">
        <f>ROUND(+P158+P161+P164,2)</f>
        <v>20.88</v>
      </c>
      <c r="G167" s="1036"/>
      <c r="H167" s="1036"/>
      <c r="I167" s="74"/>
      <c r="J167" s="6"/>
      <c r="K167" s="632"/>
      <c r="L167" s="6"/>
      <c r="M167" s="630" t="s">
        <v>617</v>
      </c>
      <c r="N167" s="630" t="s">
        <v>601</v>
      </c>
      <c r="O167" s="1036">
        <f>+P159+P162+P165</f>
        <v>16.432432432432432</v>
      </c>
      <c r="P167" s="1037"/>
      <c r="Q167" s="1037"/>
      <c r="R167" s="77"/>
      <c r="S167" s="77"/>
      <c r="T167" s="77"/>
      <c r="U167" s="77"/>
      <c r="V167" s="77"/>
      <c r="W167" s="77"/>
      <c r="X167" s="119"/>
      <c r="Y167" s="129"/>
      <c r="Z167" s="129"/>
      <c r="AA167" s="129"/>
      <c r="AB167" s="42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s="5" customFormat="1" ht="9" customHeight="1">
      <c r="A168" s="6"/>
      <c r="B168" s="76"/>
      <c r="C168" s="76"/>
      <c r="D168" s="6"/>
      <c r="E168" s="6"/>
      <c r="F168" s="76"/>
      <c r="G168" s="6"/>
      <c r="H168" s="6"/>
      <c r="I168" s="74"/>
      <c r="J168" s="76"/>
      <c r="K168" s="161"/>
      <c r="L168" s="76"/>
      <c r="M168" s="76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119"/>
      <c r="Y168" s="129"/>
      <c r="Z168" s="129"/>
      <c r="AA168" s="129"/>
      <c r="AB168" s="42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 spans="1:91" s="5" customFormat="1" ht="21" customHeight="1">
      <c r="A169" s="6"/>
      <c r="B169" s="76"/>
      <c r="C169" s="76"/>
      <c r="D169" s="6"/>
      <c r="E169" s="6"/>
      <c r="F169" s="76"/>
      <c r="G169" s="6"/>
      <c r="H169" s="6"/>
      <c r="I169" s="74"/>
      <c r="J169" s="76"/>
      <c r="K169" s="161"/>
      <c r="L169" s="76"/>
      <c r="M169" s="76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119"/>
      <c r="Y169" s="129"/>
      <c r="Z169" s="129"/>
      <c r="AA169" s="129"/>
      <c r="AB169" s="42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s="5" customFormat="1" ht="12.75" customHeight="1">
      <c r="A170" s="6"/>
      <c r="B170" s="76"/>
      <c r="C170" s="76"/>
      <c r="D170" s="6"/>
      <c r="E170" s="6"/>
      <c r="F170" s="76"/>
      <c r="G170" s="6"/>
      <c r="H170" s="6"/>
      <c r="I170" s="74"/>
      <c r="J170" s="76"/>
      <c r="K170" s="161"/>
      <c r="L170" s="76"/>
      <c r="M170" s="76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119"/>
      <c r="Y170" s="129"/>
      <c r="Z170" s="129"/>
      <c r="AA170" s="129"/>
      <c r="AB170" s="42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 spans="1:91" s="5" customFormat="1" ht="15.75" customHeight="1">
      <c r="A171" s="6"/>
      <c r="B171" s="76"/>
      <c r="C171" s="76"/>
      <c r="D171" s="6"/>
      <c r="E171" s="6"/>
      <c r="F171" s="76"/>
      <c r="G171" s="6"/>
      <c r="H171" s="6"/>
      <c r="I171" s="74"/>
      <c r="J171" s="76"/>
      <c r="K171" s="161"/>
      <c r="L171" s="76"/>
      <c r="M171" s="76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119"/>
      <c r="Y171" s="129"/>
      <c r="Z171" s="129"/>
      <c r="AA171" s="129"/>
      <c r="AB171" s="42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s="5" customFormat="1" ht="14.25" customHeight="1">
      <c r="A172" s="6"/>
      <c r="B172" s="76"/>
      <c r="C172" s="76"/>
      <c r="D172" s="6"/>
      <c r="E172" s="6"/>
      <c r="F172" s="76"/>
      <c r="G172" s="6"/>
      <c r="H172" s="6"/>
      <c r="I172" s="74"/>
      <c r="J172" s="76"/>
      <c r="K172" s="161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119"/>
      <c r="Y172" s="129"/>
      <c r="Z172" s="129"/>
      <c r="AA172" s="129"/>
      <c r="AB172" s="42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s="5" customFormat="1" ht="14.25" customHeight="1">
      <c r="A173" s="6"/>
      <c r="B173" s="76"/>
      <c r="C173" s="76"/>
      <c r="D173" s="6"/>
      <c r="E173" s="6"/>
      <c r="F173" s="76"/>
      <c r="G173" s="6"/>
      <c r="H173" s="6"/>
      <c r="I173" s="74"/>
      <c r="J173" s="76"/>
      <c r="K173" s="161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119"/>
      <c r="Y173" s="129"/>
      <c r="Z173" s="129"/>
      <c r="AA173" s="129"/>
      <c r="AB173" s="42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s="5" customFormat="1" ht="14.25" customHeight="1">
      <c r="A174" s="6"/>
      <c r="B174" s="76"/>
      <c r="C174" s="76"/>
      <c r="D174" s="6"/>
      <c r="E174" s="6"/>
      <c r="F174" s="76"/>
      <c r="G174" s="6"/>
      <c r="H174" s="6"/>
      <c r="I174" s="74"/>
      <c r="J174" s="76"/>
      <c r="K174" s="161"/>
      <c r="L174" s="76"/>
      <c r="M174" s="76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119"/>
      <c r="Y174" s="129"/>
      <c r="Z174" s="129"/>
      <c r="AA174" s="129"/>
      <c r="AB174" s="42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s="5" customFormat="1" ht="14.25" customHeight="1">
      <c r="A175" s="6"/>
      <c r="B175" s="76"/>
      <c r="C175" s="76"/>
      <c r="D175" s="6"/>
      <c r="E175" s="6"/>
      <c r="F175" s="76"/>
      <c r="G175" s="6"/>
      <c r="H175" s="6"/>
      <c r="I175" s="74"/>
      <c r="J175" s="76"/>
      <c r="K175" s="161"/>
      <c r="L175" s="76"/>
      <c r="M175" s="76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119"/>
      <c r="Y175" s="129"/>
      <c r="Z175" s="129"/>
      <c r="AA175" s="129"/>
      <c r="AB175" s="42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s="5" customFormat="1" ht="14.25" customHeight="1">
      <c r="A176" s="6"/>
      <c r="B176" s="76"/>
      <c r="C176" s="76"/>
      <c r="D176" s="6"/>
      <c r="E176" s="6"/>
      <c r="F176" s="76"/>
      <c r="G176" s="6"/>
      <c r="H176" s="6"/>
      <c r="I176" s="74"/>
      <c r="J176" s="76"/>
      <c r="K176" s="161"/>
      <c r="L176" s="76"/>
      <c r="M176" s="76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19"/>
      <c r="Y176" s="129"/>
      <c r="Z176" s="129"/>
      <c r="AA176" s="129"/>
      <c r="AB176" s="42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4" s="5" customFormat="1" ht="14.25" customHeight="1">
      <c r="A177" s="6"/>
      <c r="B177" s="76"/>
      <c r="C177" s="76"/>
      <c r="D177" s="6"/>
      <c r="E177" s="6"/>
      <c r="F177" s="76"/>
      <c r="G177" s="6"/>
      <c r="H177" s="6"/>
      <c r="I177" s="74"/>
      <c r="J177" s="76"/>
      <c r="K177" s="161"/>
      <c r="L177" s="76"/>
      <c r="M177" s="76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119"/>
      <c r="Y177" s="129"/>
      <c r="Z177" s="129"/>
      <c r="AA177" s="129"/>
      <c r="AB177" s="42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4" s="5" customFormat="1" ht="14.25" customHeight="1">
      <c r="A178" s="6"/>
      <c r="B178" s="76"/>
      <c r="C178" s="76"/>
      <c r="D178" s="6"/>
      <c r="E178" s="6"/>
      <c r="F178" s="76"/>
      <c r="G178" s="6"/>
      <c r="H178" s="6"/>
      <c r="I178" s="74"/>
      <c r="J178" s="76"/>
      <c r="K178" s="161"/>
      <c r="L178" s="76"/>
      <c r="M178" s="76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119"/>
      <c r="Y178" s="129"/>
      <c r="Z178" s="129"/>
      <c r="AA178" s="129"/>
      <c r="AB178" s="42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4" s="5" customFormat="1" ht="14.25" customHeight="1">
      <c r="A179" s="6"/>
      <c r="B179" s="76"/>
      <c r="C179" s="76"/>
      <c r="D179" s="6"/>
      <c r="E179" s="6"/>
      <c r="F179" s="76"/>
      <c r="G179" s="6"/>
      <c r="H179" s="6"/>
      <c r="I179" s="74"/>
      <c r="J179" s="76"/>
      <c r="K179" s="161"/>
      <c r="L179" s="76"/>
      <c r="M179" s="76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119"/>
      <c r="Y179" s="129"/>
      <c r="Z179" s="129"/>
      <c r="AA179" s="129"/>
      <c r="AB179" s="42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4" s="5" customFormat="1" ht="14.25" customHeight="1">
      <c r="A180" s="6"/>
      <c r="B180" s="76"/>
      <c r="C180" s="76"/>
      <c r="D180" s="6"/>
      <c r="E180" s="6"/>
      <c r="F180" s="76"/>
      <c r="G180" s="6"/>
      <c r="H180" s="6"/>
      <c r="I180" s="74"/>
      <c r="J180" s="76"/>
      <c r="K180" s="161"/>
      <c r="L180" s="76"/>
      <c r="M180" s="76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119"/>
      <c r="Y180" s="129"/>
      <c r="Z180" s="129"/>
      <c r="AA180" s="129"/>
      <c r="AB180" s="42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4" s="5" customFormat="1" ht="7.5" customHeight="1">
      <c r="A181" s="6"/>
      <c r="B181" s="76"/>
      <c r="C181" s="76"/>
      <c r="D181" s="6"/>
      <c r="E181" s="6"/>
      <c r="F181" s="76"/>
      <c r="G181" s="6"/>
      <c r="H181" s="6"/>
      <c r="I181" s="74"/>
      <c r="J181" s="76"/>
      <c r="K181" s="161"/>
      <c r="L181" s="76"/>
      <c r="M181" s="76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119"/>
      <c r="Y181" s="129"/>
      <c r="Z181" s="129"/>
      <c r="AA181" s="129"/>
      <c r="AB181" s="42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4" s="5" customFormat="1" ht="17.25" customHeight="1">
      <c r="A182" s="6"/>
      <c r="B182" s="76"/>
      <c r="C182" s="76"/>
      <c r="D182" s="6"/>
      <c r="E182" s="6"/>
      <c r="F182" s="76"/>
      <c r="G182" s="6"/>
      <c r="H182" s="6"/>
      <c r="I182" s="74"/>
      <c r="J182" s="76"/>
      <c r="K182" s="161"/>
      <c r="L182" s="76"/>
      <c r="M182" s="76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119"/>
      <c r="Y182" s="129"/>
      <c r="Z182" s="129"/>
      <c r="AA182" s="129"/>
      <c r="AB182" s="42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4" s="5" customFormat="1" ht="17.25" customHeight="1">
      <c r="A183" s="6"/>
      <c r="B183" s="76"/>
      <c r="C183" s="76"/>
      <c r="D183" s="6"/>
      <c r="E183" s="6"/>
      <c r="F183" s="76"/>
      <c r="G183" s="6"/>
      <c r="H183" s="6"/>
      <c r="I183" s="74"/>
      <c r="J183" s="76"/>
      <c r="K183" s="161"/>
      <c r="L183" s="76"/>
      <c r="M183" s="76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119"/>
      <c r="Y183" s="129"/>
      <c r="Z183" s="129"/>
      <c r="AA183" s="129"/>
      <c r="AB183" s="42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4" s="5" customFormat="1" ht="17.25" customHeight="1">
      <c r="A184" s="6"/>
      <c r="B184" s="76"/>
      <c r="C184" s="76"/>
      <c r="D184" s="6"/>
      <c r="E184" s="6"/>
      <c r="F184" s="76"/>
      <c r="G184" s="6"/>
      <c r="H184" s="6"/>
      <c r="I184" s="74"/>
      <c r="J184" s="76"/>
      <c r="K184" s="161"/>
      <c r="L184" s="76"/>
      <c r="M184" s="76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119"/>
      <c r="Y184" s="129"/>
      <c r="Z184" s="129"/>
      <c r="AA184" s="129"/>
      <c r="AB184" s="42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</row>
    <row r="185" spans="1:94" s="5" customFormat="1" ht="17.25" customHeight="1">
      <c r="A185" s="6"/>
      <c r="B185" s="76"/>
      <c r="C185" s="76"/>
      <c r="D185" s="6"/>
      <c r="E185" s="6"/>
      <c r="F185" s="76"/>
      <c r="G185" s="6"/>
      <c r="H185" s="6"/>
      <c r="I185" s="74"/>
      <c r="J185" s="76"/>
      <c r="K185" s="161"/>
      <c r="L185" s="76"/>
      <c r="M185" s="76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119"/>
      <c r="Y185" s="129"/>
      <c r="Z185" s="129"/>
      <c r="AA185" s="129"/>
      <c r="AB185" s="46"/>
      <c r="AC185" s="42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</row>
    <row r="186" spans="1:94" ht="17.25" customHeight="1">
      <c r="A186" s="6"/>
      <c r="B186" s="76"/>
      <c r="C186" s="76"/>
      <c r="D186" s="6"/>
      <c r="E186" s="6"/>
      <c r="F186" s="76"/>
      <c r="G186" s="6"/>
      <c r="H186" s="6"/>
      <c r="I186" s="74"/>
      <c r="J186" s="76"/>
      <c r="K186" s="161"/>
      <c r="L186" s="76"/>
      <c r="M186" s="76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119"/>
      <c r="Y186" s="129"/>
      <c r="Z186" s="129"/>
      <c r="AA186" s="129"/>
      <c r="AB186" s="46"/>
      <c r="AC186" s="42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spans="1:94" ht="9.75" customHeight="1">
      <c r="A187" s="6"/>
      <c r="B187" s="76"/>
      <c r="C187" s="76"/>
      <c r="D187" s="6"/>
      <c r="E187" s="6"/>
      <c r="F187" s="76"/>
      <c r="G187" s="6"/>
      <c r="H187" s="6"/>
      <c r="I187" s="74"/>
      <c r="J187" s="76"/>
      <c r="K187" s="161"/>
      <c r="L187" s="76"/>
      <c r="M187" s="76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119"/>
      <c r="Y187" s="129"/>
      <c r="Z187" s="129"/>
      <c r="AA187" s="129"/>
      <c r="AB187" s="46"/>
      <c r="AC187" s="42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spans="1:94" ht="29.25" customHeight="1">
      <c r="A188" s="6"/>
      <c r="B188" s="76"/>
      <c r="C188" s="76"/>
      <c r="D188" s="6"/>
      <c r="E188" s="6"/>
      <c r="F188" s="76"/>
      <c r="G188" s="6"/>
      <c r="H188" s="6"/>
      <c r="I188" s="74"/>
      <c r="J188" s="76"/>
      <c r="K188" s="161"/>
      <c r="L188" s="76"/>
      <c r="M188" s="76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119"/>
      <c r="Y188" s="129"/>
      <c r="Z188" s="129"/>
      <c r="AA188" s="129"/>
      <c r="AB188" s="62"/>
      <c r="AC188" s="42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spans="1:94" ht="19.5" customHeight="1">
      <c r="A189" s="6"/>
      <c r="B189" s="194" t="s">
        <v>192</v>
      </c>
      <c r="C189" s="157"/>
      <c r="D189" s="158"/>
      <c r="E189" s="158"/>
      <c r="F189" s="157"/>
      <c r="G189" s="158"/>
      <c r="H189" s="158"/>
      <c r="I189" s="74"/>
      <c r="J189" s="76"/>
      <c r="K189" s="161"/>
      <c r="L189" s="162"/>
      <c r="M189" s="162"/>
      <c r="N189" s="163"/>
      <c r="O189" s="163"/>
      <c r="P189" s="163"/>
      <c r="Q189" s="163"/>
      <c r="R189" s="163"/>
      <c r="S189" s="77"/>
      <c r="T189" s="77"/>
      <c r="U189" s="77"/>
      <c r="V189" s="77"/>
      <c r="W189" s="77"/>
      <c r="X189" s="119"/>
      <c r="Y189" s="168"/>
      <c r="Z189" s="168"/>
      <c r="AA189" s="168"/>
      <c r="AB189" s="46"/>
      <c r="AC189" s="42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</row>
    <row r="190" spans="1:94" ht="19.5" customHeight="1">
      <c r="A190" s="6"/>
      <c r="B190" s="74"/>
      <c r="C190" s="157"/>
      <c r="D190" s="158"/>
      <c r="E190" s="158"/>
      <c r="F190" s="157"/>
      <c r="G190" s="158"/>
      <c r="H190" s="158"/>
      <c r="I190" s="74"/>
      <c r="J190" s="76"/>
      <c r="K190" s="161"/>
      <c r="L190" s="162"/>
      <c r="M190" s="162"/>
      <c r="N190" s="163"/>
      <c r="O190" s="163"/>
      <c r="P190" s="163"/>
      <c r="Q190" s="163"/>
      <c r="R190" s="163"/>
      <c r="S190" s="77"/>
      <c r="T190" s="77"/>
      <c r="U190" s="77"/>
      <c r="V190" s="77"/>
      <c r="W190" s="77"/>
      <c r="X190" s="119"/>
      <c r="Y190" s="168"/>
      <c r="Z190" s="168"/>
      <c r="AA190" s="168"/>
      <c r="AB190" s="46"/>
      <c r="AC190" s="170"/>
      <c r="AU190" s="5"/>
      <c r="AV190" s="5"/>
      <c r="AW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</row>
    <row r="191" spans="1:94" ht="29.25" customHeight="1">
      <c r="A191" s="6"/>
      <c r="B191" s="85" t="s">
        <v>193</v>
      </c>
      <c r="C191" s="157"/>
      <c r="D191" s="158"/>
      <c r="E191" s="158"/>
      <c r="F191" s="157"/>
      <c r="G191" s="158"/>
      <c r="H191" s="158"/>
      <c r="I191" s="74"/>
      <c r="J191" s="76"/>
      <c r="K191" s="161"/>
      <c r="L191" s="162"/>
      <c r="M191" s="162"/>
      <c r="N191" s="163"/>
      <c r="O191" s="163"/>
      <c r="P191" s="163"/>
      <c r="Q191" s="163"/>
      <c r="R191" s="163"/>
      <c r="S191" s="77"/>
      <c r="T191" s="77"/>
      <c r="U191" s="77"/>
      <c r="V191" s="77"/>
      <c r="W191" s="77"/>
      <c r="X191" s="119"/>
      <c r="Y191" s="168"/>
      <c r="Z191" s="168"/>
      <c r="AA191" s="168"/>
      <c r="AB191" s="46"/>
      <c r="AC191" s="97"/>
      <c r="AU191" s="5"/>
      <c r="AV191" s="5"/>
      <c r="AW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</row>
    <row r="192" spans="1:94" ht="18" customHeight="1">
      <c r="A192" s="6"/>
      <c r="B192" s="157"/>
      <c r="C192" s="157"/>
      <c r="D192" s="158"/>
      <c r="E192" s="158"/>
      <c r="F192" s="157"/>
      <c r="G192" s="158"/>
      <c r="H192" s="158"/>
      <c r="I192" s="74"/>
      <c r="J192" s="76"/>
      <c r="K192" s="161"/>
      <c r="L192" s="162"/>
      <c r="M192" s="162"/>
      <c r="N192" s="163"/>
      <c r="O192" s="163"/>
      <c r="P192" s="163"/>
      <c r="Q192" s="163"/>
      <c r="R192" s="163"/>
      <c r="S192" s="77"/>
      <c r="T192" s="77"/>
      <c r="U192" s="77"/>
      <c r="V192" s="77"/>
      <c r="W192" s="77"/>
      <c r="X192" s="119"/>
      <c r="Y192" s="168"/>
      <c r="Z192" s="168"/>
      <c r="AA192" s="168"/>
      <c r="AB192" s="46"/>
      <c r="AC192" s="9"/>
      <c r="AU192" s="5"/>
      <c r="AV192" s="5"/>
      <c r="AW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</row>
    <row r="193" spans="1:64" ht="18" customHeight="1">
      <c r="A193" s="6"/>
      <c r="B193" s="484" t="s">
        <v>194</v>
      </c>
      <c r="C193" s="485"/>
      <c r="D193" s="484"/>
      <c r="E193" s="484"/>
      <c r="F193" s="485" t="s">
        <v>195</v>
      </c>
      <c r="G193" s="484"/>
      <c r="H193" s="484"/>
      <c r="I193" s="486" t="s">
        <v>196</v>
      </c>
      <c r="J193" s="485" t="s">
        <v>197</v>
      </c>
      <c r="K193" s="485"/>
      <c r="L193" s="146"/>
      <c r="M193" s="146"/>
      <c r="N193" s="482"/>
      <c r="O193" s="482"/>
      <c r="P193" s="482"/>
      <c r="Q193" s="482"/>
      <c r="R193" s="482"/>
      <c r="S193" s="482"/>
      <c r="T193" s="482"/>
      <c r="U193" s="77"/>
      <c r="V193" s="77"/>
      <c r="W193" s="77"/>
      <c r="X193" s="77"/>
      <c r="Y193" s="119"/>
      <c r="Z193" s="76"/>
      <c r="AA193" s="76"/>
      <c r="AB193" s="46"/>
      <c r="AC193" s="497"/>
      <c r="AD193" s="497" t="s">
        <v>205</v>
      </c>
      <c r="AE193" s="498" t="s">
        <v>502</v>
      </c>
      <c r="AF193" s="452"/>
      <c r="AG193" s="452"/>
      <c r="AH193" s="452"/>
      <c r="AU193" s="5"/>
      <c r="AV193" s="5"/>
      <c r="AW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</row>
    <row r="194" spans="1:64" ht="17.25" customHeight="1">
      <c r="A194" s="6"/>
      <c r="B194" s="1274" t="s">
        <v>198</v>
      </c>
      <c r="C194" s="1275"/>
      <c r="D194" s="1275"/>
      <c r="E194" s="1275"/>
      <c r="F194" s="1276" t="s">
        <v>199</v>
      </c>
      <c r="G194" s="1277"/>
      <c r="H194" s="1277"/>
      <c r="I194" s="1277"/>
      <c r="J194" s="1277"/>
      <c r="K194" s="1277"/>
      <c r="L194" s="1274"/>
      <c r="M194" s="1277" t="s">
        <v>200</v>
      </c>
      <c r="N194" s="1277"/>
      <c r="O194" s="1277"/>
      <c r="P194" s="1277"/>
      <c r="Q194" s="1277"/>
      <c r="R194" s="1274"/>
      <c r="S194" s="1278" t="s">
        <v>201</v>
      </c>
      <c r="T194" s="1279"/>
      <c r="U194" s="1277"/>
      <c r="V194" s="1277"/>
      <c r="W194" s="1277"/>
      <c r="X194" s="1277"/>
      <c r="Y194" s="1277"/>
      <c r="Z194" s="1277"/>
      <c r="AA194" s="76"/>
      <c r="AB194" s="77"/>
      <c r="AC194" s="77"/>
      <c r="AD194" s="77"/>
      <c r="AG194" s="1303" t="s">
        <v>157</v>
      </c>
      <c r="AH194" s="1303"/>
      <c r="AI194" s="1065">
        <f>+F5</f>
        <v>1.85</v>
      </c>
      <c r="AJ194" s="1065"/>
    </row>
    <row r="195" spans="1:64" ht="17.25" customHeight="1">
      <c r="A195" s="6"/>
      <c r="B195" s="1320">
        <f>+U120</f>
        <v>21.83</v>
      </c>
      <c r="C195" s="1321"/>
      <c r="D195" s="1321"/>
      <c r="E195" s="1321"/>
      <c r="F195" s="1322">
        <f>ROUND(_xlfn.COT(RADIANS(B195))*(S195-1),4)</f>
        <v>20.0335</v>
      </c>
      <c r="G195" s="1323"/>
      <c r="H195" s="1323"/>
      <c r="I195" s="1323"/>
      <c r="J195" s="1323"/>
      <c r="K195" s="1323"/>
      <c r="L195" s="1324"/>
      <c r="M195" s="1545">
        <f>ROUND((S195+1)*TAN(RADIANS(B195))*2/(1+0.4*SIN(RADIANS(4*B195))),3)</f>
        <v>5.7389999999999999</v>
      </c>
      <c r="N195" s="1546"/>
      <c r="O195" s="1546"/>
      <c r="P195" s="1546"/>
      <c r="Q195" s="1546"/>
      <c r="R195" s="1547"/>
      <c r="S195" s="1546">
        <f>ROUND((EXP(2*(3*PI()/4-RADIANS(B195)/2)*TAN(RADIANS(B195)))/(COS(RADIANS(45+B195/2))^2*2)),3)</f>
        <v>9.0250000000000004</v>
      </c>
      <c r="T195" s="1546"/>
      <c r="U195" s="1546"/>
      <c r="V195" s="1546"/>
      <c r="W195" s="1546"/>
      <c r="X195" s="1546"/>
      <c r="Y195" s="1546"/>
      <c r="Z195" s="1546"/>
      <c r="AA195" s="129"/>
      <c r="AB195" s="77"/>
      <c r="AC195" s="77"/>
      <c r="AD195" s="77"/>
      <c r="AE195" s="3" t="s">
        <v>210</v>
      </c>
      <c r="AF195" s="202">
        <v>18</v>
      </c>
      <c r="AG195" s="1303" t="s">
        <v>211</v>
      </c>
      <c r="AH195" s="1303"/>
      <c r="AI195" s="1065">
        <f>+V5</f>
        <v>2.72</v>
      </c>
      <c r="AJ195" s="1065"/>
    </row>
    <row r="196" spans="1:64" ht="23.25" customHeight="1">
      <c r="A196" s="6"/>
      <c r="B196" s="74" t="s">
        <v>202</v>
      </c>
      <c r="C196" s="485"/>
      <c r="D196" s="484"/>
      <c r="E196" s="484"/>
      <c r="F196" s="485" t="s">
        <v>195</v>
      </c>
      <c r="G196" s="484"/>
      <c r="H196" s="484"/>
      <c r="I196" s="486" t="s">
        <v>196</v>
      </c>
      <c r="J196" s="485" t="s">
        <v>197</v>
      </c>
      <c r="K196" s="485"/>
      <c r="L196" s="487"/>
      <c r="M196" s="146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119"/>
      <c r="Z196" s="76"/>
      <c r="AA196" s="76"/>
      <c r="AB196" s="77"/>
      <c r="AC196" s="77"/>
      <c r="AD196" s="77"/>
      <c r="AE196" s="3" t="s">
        <v>212</v>
      </c>
      <c r="AF196" s="202">
        <v>8</v>
      </c>
      <c r="AG196" s="1303" t="s">
        <v>213</v>
      </c>
      <c r="AH196" s="1303"/>
      <c r="AI196" s="1065">
        <f>+N5</f>
        <v>1.1599999999999999</v>
      </c>
      <c r="AJ196" s="1065"/>
    </row>
    <row r="197" spans="1:64" ht="23.25" customHeight="1">
      <c r="A197" s="6"/>
      <c r="B197" s="1274" t="s">
        <v>198</v>
      </c>
      <c r="C197" s="1275"/>
      <c r="D197" s="1275"/>
      <c r="E197" s="1275"/>
      <c r="F197" s="1276" t="s">
        <v>199</v>
      </c>
      <c r="G197" s="1277"/>
      <c r="H197" s="1277"/>
      <c r="I197" s="1277"/>
      <c r="J197" s="1277"/>
      <c r="K197" s="1277"/>
      <c r="L197" s="1274"/>
      <c r="M197" s="1276" t="s">
        <v>200</v>
      </c>
      <c r="N197" s="1277"/>
      <c r="O197" s="1277"/>
      <c r="P197" s="1277"/>
      <c r="Q197" s="1277"/>
      <c r="R197" s="1274"/>
      <c r="S197" s="1275" t="s">
        <v>201</v>
      </c>
      <c r="T197" s="1275"/>
      <c r="U197" s="1275"/>
      <c r="V197" s="1275"/>
      <c r="W197" s="1275"/>
      <c r="X197" s="1275"/>
      <c r="Y197" s="1275"/>
      <c r="Z197" s="1276"/>
      <c r="AA197" s="76"/>
      <c r="AB197" s="77"/>
      <c r="AC197" s="77"/>
      <c r="AD197" s="77"/>
      <c r="AX197" s="3"/>
      <c r="AY197" s="3"/>
      <c r="AZ197" s="5"/>
      <c r="BA197" s="5"/>
    </row>
    <row r="198" spans="1:64" ht="17.25" customHeight="1">
      <c r="A198" s="6"/>
      <c r="B198" s="1320">
        <f>+U135</f>
        <v>22.12</v>
      </c>
      <c r="C198" s="1321"/>
      <c r="D198" s="1321"/>
      <c r="E198" s="1321"/>
      <c r="F198" s="1322">
        <f>ROUND(_xlfn.COT(RADIANS(B198))*(S198-1),4)</f>
        <v>20.4421</v>
      </c>
      <c r="G198" s="1323"/>
      <c r="H198" s="1323"/>
      <c r="I198" s="1323"/>
      <c r="J198" s="1323"/>
      <c r="K198" s="1323"/>
      <c r="L198" s="1324"/>
      <c r="M198" s="1322">
        <f>ROUND((S198+1)*TAN(RADIANS(B198))*2/(1+0.4*SIN(RADIANS(4*B198))),3)</f>
        <v>5.9870000000000001</v>
      </c>
      <c r="N198" s="1323"/>
      <c r="O198" s="1323"/>
      <c r="P198" s="1323"/>
      <c r="Q198" s="1323"/>
      <c r="R198" s="1324"/>
      <c r="S198" s="1545">
        <f>ROUND((EXP(2*(3*PI()/4-RADIANS(B198)/2)*TAN(RADIANS(B198)))/(COS(RADIANS(45+B198/2))^2*2)),3)</f>
        <v>9.3089999999999993</v>
      </c>
      <c r="T198" s="1546"/>
      <c r="U198" s="1546"/>
      <c r="V198" s="1546"/>
      <c r="W198" s="1546"/>
      <c r="X198" s="1546"/>
      <c r="Y198" s="1546"/>
      <c r="Z198" s="1546"/>
      <c r="AA198" s="76"/>
      <c r="AB198" s="77"/>
      <c r="AC198" s="77"/>
      <c r="AE198" s="171" t="s">
        <v>214</v>
      </c>
      <c r="AH198" s="452">
        <f>+IF(AND(AI196&lt;AI195,AI195&lt;(AI194+AI196)),AT198,IF(AI196&gt;AI195,AT199,IF(AI195&gt;(AI194+AI196),AT200,"")))</f>
        <v>16.43</v>
      </c>
      <c r="AJ198" s="3" t="s">
        <v>535</v>
      </c>
      <c r="AN198" s="57">
        <f>+AI195-AI196</f>
        <v>1.5600000000000003</v>
      </c>
      <c r="AO198" s="57">
        <f>+AF195</f>
        <v>18</v>
      </c>
      <c r="AP198" s="57">
        <f>+AI196+AI194-AI195</f>
        <v>0.28999999999999959</v>
      </c>
      <c r="AQ198" s="57">
        <f>+AF196</f>
        <v>8</v>
      </c>
      <c r="AR198" s="57"/>
      <c r="AS198" s="57">
        <f>+AN198*AO198+AP198*AQ198</f>
        <v>30.400000000000002</v>
      </c>
      <c r="AT198" s="57">
        <f>ROUND(AS198/AI194,2)</f>
        <v>16.43</v>
      </c>
      <c r="AW198" s="5"/>
      <c r="AY198" s="3"/>
    </row>
    <row r="199" spans="1:64" ht="17.25" customHeight="1">
      <c r="A199" s="6"/>
      <c r="B199" s="76"/>
      <c r="C199" s="76"/>
      <c r="D199" s="76"/>
      <c r="E199" s="76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77"/>
      <c r="S199" s="77"/>
      <c r="T199" s="77"/>
      <c r="U199" s="77"/>
      <c r="V199" s="77"/>
      <c r="W199" s="77"/>
      <c r="X199" s="77"/>
      <c r="Y199" s="119"/>
      <c r="Z199" s="76"/>
      <c r="AA199" s="76"/>
      <c r="AB199" s="77"/>
      <c r="AD199" s="77"/>
      <c r="AE199" s="171" t="s">
        <v>215</v>
      </c>
      <c r="AH199" s="452">
        <f>ROUND(IF(AI196&lt;AI195,AF195,((AI195*AF195)+(AI196-AI195)*AF196)/AI196),2)</f>
        <v>18</v>
      </c>
      <c r="AJ199" s="3" t="s">
        <v>536</v>
      </c>
      <c r="AN199" s="57">
        <f>+AI194</f>
        <v>1.85</v>
      </c>
      <c r="AO199" s="57">
        <f>+AF196</f>
        <v>8</v>
      </c>
      <c r="AP199" s="57"/>
      <c r="AQ199" s="57"/>
      <c r="AR199" s="57"/>
      <c r="AS199" s="57">
        <f>+AN199*AO199+AP199*AQ199</f>
        <v>14.8</v>
      </c>
      <c r="AT199" s="57">
        <f>+AS199/AI194</f>
        <v>8</v>
      </c>
      <c r="AW199" s="5"/>
      <c r="AY199" s="3"/>
    </row>
    <row r="200" spans="1:64" ht="17.25" customHeight="1">
      <c r="A200" s="6"/>
      <c r="B200" s="1319" t="s">
        <v>216</v>
      </c>
      <c r="C200" s="1319"/>
      <c r="D200" s="1319"/>
      <c r="E200" s="634" t="s">
        <v>217</v>
      </c>
      <c r="F200" s="635" t="s">
        <v>218</v>
      </c>
      <c r="G200" s="634"/>
      <c r="H200" s="634"/>
      <c r="I200" s="481"/>
      <c r="J200" s="481"/>
      <c r="K200" s="481"/>
      <c r="L200" s="146"/>
      <c r="M200" s="146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  <c r="Y200" s="483"/>
      <c r="Z200" s="146"/>
      <c r="AA200" s="76"/>
      <c r="AB200" s="77"/>
      <c r="AC200" s="77"/>
      <c r="AD200" s="77"/>
      <c r="AJ200" s="3" t="s">
        <v>537</v>
      </c>
      <c r="AN200" s="57">
        <f>+AI194</f>
        <v>1.85</v>
      </c>
      <c r="AO200" s="57">
        <f>+AF195</f>
        <v>18</v>
      </c>
      <c r="AP200" s="57"/>
      <c r="AQ200" s="57"/>
      <c r="AR200" s="57"/>
      <c r="AS200" s="57">
        <f>+AN200*AO200+AP200*AQ200</f>
        <v>33.300000000000004</v>
      </c>
      <c r="AT200" s="57">
        <f>+AS200/AI194</f>
        <v>18</v>
      </c>
      <c r="AW200" s="5"/>
      <c r="AY200" s="3"/>
    </row>
    <row r="201" spans="1:64" ht="17.25" customHeight="1">
      <c r="A201" s="39"/>
      <c r="B201" s="1540" t="s">
        <v>219</v>
      </c>
      <c r="C201" s="1540"/>
      <c r="D201" s="1540"/>
      <c r="E201" s="1540"/>
      <c r="F201" s="1540"/>
      <c r="G201" s="1541"/>
      <c r="H201" s="1041" t="s">
        <v>220</v>
      </c>
      <c r="I201" s="1042"/>
      <c r="J201" s="1042"/>
      <c r="K201" s="1043"/>
      <c r="L201" s="1041" t="s">
        <v>221</v>
      </c>
      <c r="M201" s="1042"/>
      <c r="N201" s="1043"/>
      <c r="O201" s="1041" t="s">
        <v>222</v>
      </c>
      <c r="P201" s="1042"/>
      <c r="Q201" s="1042"/>
      <c r="R201" s="1043"/>
      <c r="S201" s="1041" t="s">
        <v>223</v>
      </c>
      <c r="T201" s="1042"/>
      <c r="U201" s="1042"/>
      <c r="V201" s="1043"/>
      <c r="W201" s="1041" t="s">
        <v>224</v>
      </c>
      <c r="X201" s="1042"/>
      <c r="Y201" s="1042"/>
      <c r="Z201" s="1042"/>
      <c r="AA201" s="39"/>
      <c r="AB201" s="77"/>
      <c r="AC201" s="77"/>
      <c r="AD201" s="77"/>
      <c r="AE201" s="46"/>
      <c r="AW201" s="5"/>
      <c r="AY201" s="3"/>
    </row>
    <row r="202" spans="1:64" ht="17.25" customHeight="1">
      <c r="A202" s="39"/>
      <c r="B202" s="1528" t="s">
        <v>225</v>
      </c>
      <c r="C202" s="1528"/>
      <c r="D202" s="1528"/>
      <c r="E202" s="1528"/>
      <c r="F202" s="1528"/>
      <c r="G202" s="1529"/>
      <c r="H202" s="1044"/>
      <c r="I202" s="1045"/>
      <c r="J202" s="1045"/>
      <c r="K202" s="1046"/>
      <c r="L202" s="1044"/>
      <c r="M202" s="1045"/>
      <c r="N202" s="1046"/>
      <c r="O202" s="1044"/>
      <c r="P202" s="1045"/>
      <c r="Q202" s="1045"/>
      <c r="R202" s="1046"/>
      <c r="S202" s="1044"/>
      <c r="T202" s="1045"/>
      <c r="U202" s="1045"/>
      <c r="V202" s="1046"/>
      <c r="W202" s="1044"/>
      <c r="X202" s="1045"/>
      <c r="Y202" s="1045"/>
      <c r="Z202" s="1045"/>
      <c r="AA202" s="39"/>
      <c r="AB202" s="77"/>
      <c r="AC202" s="77"/>
      <c r="AD202" s="77"/>
      <c r="AE202" s="46"/>
      <c r="AW202" s="5"/>
      <c r="AY202" s="3"/>
    </row>
    <row r="203" spans="1:64" ht="17.25" customHeight="1">
      <c r="A203" s="39"/>
      <c r="B203" s="1530" t="s">
        <v>226</v>
      </c>
      <c r="C203" s="1530"/>
      <c r="D203" s="1530"/>
      <c r="E203" s="1530"/>
      <c r="F203" s="1530"/>
      <c r="G203" s="1531"/>
      <c r="H203" s="1532">
        <v>1</v>
      </c>
      <c r="I203" s="1533"/>
      <c r="J203" s="1533"/>
      <c r="K203" s="1534"/>
      <c r="L203" s="1532">
        <v>1.3</v>
      </c>
      <c r="M203" s="1533"/>
      <c r="N203" s="1534"/>
      <c r="O203" s="1535" t="s">
        <v>227</v>
      </c>
      <c r="P203" s="1536"/>
      <c r="Q203" s="1536"/>
      <c r="R203" s="1537"/>
      <c r="S203" s="1532">
        <v>1.3</v>
      </c>
      <c r="T203" s="1533"/>
      <c r="U203" s="1533"/>
      <c r="V203" s="1534"/>
      <c r="W203" s="1538" t="str">
        <f>FIXED(1+0.3*F5/J5,2)</f>
        <v>1.22</v>
      </c>
      <c r="X203" s="1539"/>
      <c r="Y203" s="1539"/>
      <c r="Z203" s="1539"/>
      <c r="AA203" s="39"/>
      <c r="AB203" s="77"/>
      <c r="AC203" s="77"/>
      <c r="AD203" s="77"/>
      <c r="AE203" s="46"/>
      <c r="AW203" s="5"/>
      <c r="AY203" s="3"/>
    </row>
    <row r="204" spans="1:64" ht="17.25" customHeight="1">
      <c r="A204" s="39"/>
      <c r="B204" s="1038" t="s">
        <v>229</v>
      </c>
      <c r="C204" s="1038"/>
      <c r="D204" s="1038"/>
      <c r="E204" s="1038"/>
      <c r="F204" s="1038"/>
      <c r="G204" s="1039"/>
      <c r="H204" s="1519">
        <v>0.5</v>
      </c>
      <c r="I204" s="1520"/>
      <c r="J204" s="1520"/>
      <c r="K204" s="1521"/>
      <c r="L204" s="1519">
        <v>0.4</v>
      </c>
      <c r="M204" s="1520"/>
      <c r="N204" s="1521"/>
      <c r="O204" s="1522" t="s">
        <v>230</v>
      </c>
      <c r="P204" s="1523"/>
      <c r="Q204" s="1523"/>
      <c r="R204" s="1524"/>
      <c r="S204" s="1519">
        <v>0.3</v>
      </c>
      <c r="T204" s="1520"/>
      <c r="U204" s="1520"/>
      <c r="V204" s="1521"/>
      <c r="W204" s="1526" t="str">
        <f>FIXED(0.5-0.1*F5/J5,2)</f>
        <v>0.43</v>
      </c>
      <c r="X204" s="1527"/>
      <c r="Y204" s="1527"/>
      <c r="Z204" s="1527"/>
      <c r="AA204" s="39"/>
      <c r="AB204" s="77"/>
      <c r="AC204" s="77"/>
      <c r="AD204" s="77"/>
      <c r="AE204" s="46"/>
      <c r="AF204" s="2"/>
      <c r="AW204" s="5"/>
      <c r="AY204" s="3"/>
    </row>
    <row r="205" spans="1:64" ht="17.25" customHeight="1">
      <c r="A205" s="39"/>
      <c r="B205" s="208"/>
      <c r="C205" s="208"/>
      <c r="D205" s="208"/>
      <c r="E205" s="208"/>
      <c r="F205" s="208"/>
      <c r="G205" s="208"/>
      <c r="H205" s="209"/>
      <c r="I205" s="209"/>
      <c r="J205" s="209"/>
      <c r="K205" s="209"/>
      <c r="L205" s="209"/>
      <c r="M205" s="209"/>
      <c r="N205" s="210"/>
      <c r="O205" s="210"/>
      <c r="P205" s="210"/>
      <c r="Q205" s="209"/>
      <c r="R205" s="209"/>
      <c r="S205" s="209"/>
      <c r="T205" s="211"/>
      <c r="U205" s="211"/>
      <c r="V205" s="211"/>
      <c r="W205" s="39"/>
      <c r="X205" s="39"/>
      <c r="Y205" s="39"/>
      <c r="Z205" s="39"/>
      <c r="AA205" s="39"/>
      <c r="AB205" s="77"/>
      <c r="AC205" s="2"/>
      <c r="AX205" s="3"/>
      <c r="AY205" s="3"/>
      <c r="AZ205" s="5"/>
      <c r="BA205" s="5"/>
    </row>
    <row r="206" spans="1:64" ht="17.25" customHeight="1">
      <c r="A206" s="212"/>
      <c r="B206" s="82" t="s">
        <v>231</v>
      </c>
      <c r="C206" s="6"/>
      <c r="D206" s="6"/>
      <c r="E206" s="82"/>
      <c r="F206" s="21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46"/>
      <c r="AC206" s="2"/>
      <c r="AX206" s="3"/>
      <c r="AY206" s="3"/>
      <c r="AZ206" s="5"/>
      <c r="BA206" s="5"/>
    </row>
    <row r="207" spans="1:64" ht="17.25" customHeight="1">
      <c r="A207" s="6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46"/>
      <c r="AC207" s="452"/>
      <c r="AD207" s="452"/>
      <c r="AE207" s="452"/>
      <c r="AF207" s="452"/>
      <c r="AG207" s="452"/>
      <c r="AH207" s="452"/>
      <c r="AX207" s="3"/>
      <c r="AY207" s="3"/>
      <c r="AZ207" s="5"/>
      <c r="BA207" s="5"/>
    </row>
    <row r="208" spans="1:64" ht="15" customHeight="1">
      <c r="A208" s="6"/>
      <c r="B208" s="1517" t="s">
        <v>157</v>
      </c>
      <c r="C208" s="1518"/>
      <c r="D208" s="1518"/>
      <c r="E208" s="1518"/>
      <c r="F208" s="1084" t="s">
        <v>158</v>
      </c>
      <c r="G208" s="1084"/>
      <c r="H208" s="1084"/>
      <c r="I208" s="1084"/>
      <c r="J208" s="1311" t="s">
        <v>232</v>
      </c>
      <c r="K208" s="1312"/>
      <c r="L208" s="1313"/>
      <c r="M208" s="1311" t="s">
        <v>627</v>
      </c>
      <c r="N208" s="1312"/>
      <c r="O208" s="1313"/>
      <c r="P208" s="1311" t="s">
        <v>619</v>
      </c>
      <c r="Q208" s="1312"/>
      <c r="R208" s="1313"/>
      <c r="S208" s="1311" t="s">
        <v>235</v>
      </c>
      <c r="T208" s="1312"/>
      <c r="U208" s="1313"/>
      <c r="V208" s="1311" t="s">
        <v>236</v>
      </c>
      <c r="W208" s="1312"/>
      <c r="X208" s="1312"/>
      <c r="Y208" s="1312"/>
      <c r="Z208" s="1312"/>
      <c r="AA208" s="77"/>
      <c r="AB208" s="46"/>
      <c r="AC208" s="452"/>
      <c r="AD208" s="452"/>
      <c r="AE208" s="452"/>
      <c r="AF208" s="452"/>
      <c r="AG208" s="452"/>
      <c r="AH208" s="452"/>
      <c r="AX208" s="3"/>
      <c r="AY208" s="3"/>
      <c r="BA208" s="5"/>
      <c r="BB208" s="5"/>
    </row>
    <row r="209" spans="1:34" ht="15.75" customHeight="1">
      <c r="A209" s="6"/>
      <c r="B209" s="1238">
        <f>$F$5</f>
        <v>1.85</v>
      </c>
      <c r="C209" s="1525"/>
      <c r="D209" s="1525"/>
      <c r="E209" s="1525"/>
      <c r="F209" s="1332">
        <f>$J$5</f>
        <v>2.5</v>
      </c>
      <c r="G209" s="1332"/>
      <c r="H209" s="1332"/>
      <c r="I209" s="1332"/>
      <c r="J209" s="1251">
        <f>+$N$5</f>
        <v>1.1599999999999999</v>
      </c>
      <c r="K209" s="1252"/>
      <c r="L209" s="1253"/>
      <c r="M209" s="1251">
        <f>+$R$5</f>
        <v>150</v>
      </c>
      <c r="N209" s="1252"/>
      <c r="O209" s="1253"/>
      <c r="P209" s="1307">
        <f>+F167</f>
        <v>20.88</v>
      </c>
      <c r="Q209" s="1252"/>
      <c r="R209" s="1253"/>
      <c r="S209" s="1542">
        <f>+O167</f>
        <v>16.432432432432432</v>
      </c>
      <c r="T209" s="1543"/>
      <c r="U209" s="1544"/>
      <c r="V209" s="1308">
        <f>+U119</f>
        <v>0</v>
      </c>
      <c r="W209" s="1309"/>
      <c r="X209" s="1309"/>
      <c r="Y209" s="1309"/>
      <c r="Z209" s="1309"/>
      <c r="AA209" s="77"/>
      <c r="AB209" s="42"/>
      <c r="AC209" s="452"/>
      <c r="AD209" s="452"/>
      <c r="AE209" s="452"/>
      <c r="AF209" s="452"/>
      <c r="AG209" s="452"/>
      <c r="AH209" s="452"/>
    </row>
    <row r="210" spans="1:34" ht="15.75" customHeight="1">
      <c r="A210" s="6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42"/>
      <c r="AC210" s="452"/>
      <c r="AD210" s="452" t="s">
        <v>503</v>
      </c>
      <c r="AE210" s="452"/>
      <c r="AF210" s="452"/>
      <c r="AG210" s="452"/>
      <c r="AH210" s="452"/>
    </row>
    <row r="211" spans="1:34" ht="15.75" customHeight="1">
      <c r="A211" s="6"/>
      <c r="B211" s="649" t="s">
        <v>631</v>
      </c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42"/>
    </row>
    <row r="212" spans="1:34" ht="15.75" customHeight="1">
      <c r="A212" s="6"/>
      <c r="B212" s="641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42"/>
    </row>
    <row r="213" spans="1:34" ht="15.75" customHeight="1">
      <c r="A213" s="77"/>
      <c r="B213" s="77" t="s">
        <v>237</v>
      </c>
      <c r="C213" s="213"/>
      <c r="D213" s="77" t="s">
        <v>238</v>
      </c>
      <c r="E213" s="77" t="s">
        <v>629</v>
      </c>
      <c r="F213" s="77"/>
      <c r="G213" s="77"/>
      <c r="H213" s="77"/>
      <c r="I213" s="77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42"/>
    </row>
    <row r="214" spans="1:34" ht="15.75" customHeight="1">
      <c r="A214" s="77"/>
      <c r="B214" s="77"/>
      <c r="C214" s="213"/>
      <c r="D214" s="77"/>
      <c r="E214" s="77"/>
      <c r="F214" s="77"/>
      <c r="G214" s="77"/>
      <c r="H214" s="77"/>
      <c r="I214" s="77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46"/>
    </row>
    <row r="215" spans="1:34" ht="15.75" customHeight="1">
      <c r="A215" s="77"/>
      <c r="B215" s="77"/>
      <c r="C215" s="213"/>
      <c r="D215" s="213"/>
      <c r="E215" s="213" t="s">
        <v>240</v>
      </c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46"/>
    </row>
    <row r="216" spans="1:34" ht="15.75" customHeight="1">
      <c r="A216" s="77"/>
      <c r="B216" s="77"/>
      <c r="C216" s="213"/>
      <c r="D216" s="213"/>
      <c r="E216" s="213" t="s">
        <v>241</v>
      </c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46"/>
    </row>
    <row r="217" spans="1:34" ht="15.75" customHeight="1">
      <c r="A217" s="77"/>
      <c r="B217" s="77"/>
      <c r="C217" s="213"/>
      <c r="D217" s="213"/>
      <c r="E217" s="213" t="s">
        <v>242</v>
      </c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82"/>
    </row>
    <row r="218" spans="1:34" ht="15.75" customHeight="1">
      <c r="A218" s="77"/>
      <c r="B218" s="77"/>
      <c r="C218" s="213"/>
      <c r="D218" s="213"/>
      <c r="E218" s="77" t="s">
        <v>243</v>
      </c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34" ht="15.75" customHeight="1">
      <c r="A219" s="77"/>
      <c r="B219" s="77"/>
      <c r="C219" s="213"/>
      <c r="D219" s="213"/>
      <c r="E219" s="77" t="s">
        <v>244</v>
      </c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34" ht="15.75" customHeight="1">
      <c r="A220" s="77"/>
      <c r="B220" s="77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34" ht="15.75" customHeight="1">
      <c r="A221" s="77"/>
      <c r="B221" s="77"/>
      <c r="C221" s="611" t="s">
        <v>620</v>
      </c>
      <c r="D221" s="611" t="s">
        <v>238</v>
      </c>
      <c r="E221" s="932" t="str">
        <f>+W203</f>
        <v>1.22</v>
      </c>
      <c r="F221" s="932"/>
      <c r="G221" s="932"/>
      <c r="H221" s="611" t="s">
        <v>249</v>
      </c>
      <c r="I221" s="860">
        <f>+V209</f>
        <v>0</v>
      </c>
      <c r="J221" s="860"/>
      <c r="K221" s="860"/>
      <c r="L221" s="611" t="s">
        <v>249</v>
      </c>
      <c r="M221" s="859">
        <f>+F195</f>
        <v>20.0335</v>
      </c>
      <c r="N221" s="859"/>
      <c r="O221" s="859"/>
      <c r="P221" s="610"/>
      <c r="Q221" s="610"/>
      <c r="R221" s="610"/>
      <c r="S221" s="610"/>
      <c r="T221" s="610"/>
      <c r="U221" s="610"/>
      <c r="V221" s="610"/>
      <c r="W221" s="77"/>
      <c r="X221" s="77"/>
      <c r="Y221" s="77"/>
      <c r="Z221" s="77"/>
      <c r="AA221" s="77"/>
      <c r="AB221" s="77"/>
    </row>
    <row r="222" spans="1:34" ht="25.5" customHeight="1">
      <c r="A222" s="77"/>
      <c r="B222" s="77"/>
      <c r="C222" s="611"/>
      <c r="D222" s="611" t="s">
        <v>621</v>
      </c>
      <c r="E222" s="932" t="str">
        <f>+W204</f>
        <v>0.43</v>
      </c>
      <c r="F222" s="932"/>
      <c r="G222" s="932"/>
      <c r="H222" s="611" t="s">
        <v>622</v>
      </c>
      <c r="I222" s="862">
        <f>+O167</f>
        <v>16.432432432432432</v>
      </c>
      <c r="J222" s="862"/>
      <c r="K222" s="862"/>
      <c r="L222" s="611" t="s">
        <v>249</v>
      </c>
      <c r="M222" s="860">
        <f>+B209</f>
        <v>1.85</v>
      </c>
      <c r="N222" s="860"/>
      <c r="O222" s="860"/>
      <c r="P222" s="611" t="s">
        <v>249</v>
      </c>
      <c r="Q222" s="859">
        <f>+M195</f>
        <v>5.7389999999999999</v>
      </c>
      <c r="R222" s="859"/>
      <c r="S222" s="859"/>
      <c r="T222" s="610"/>
      <c r="U222" s="610"/>
      <c r="V222" s="610"/>
      <c r="W222" s="77"/>
      <c r="X222" s="77"/>
      <c r="Y222" s="77"/>
      <c r="Z222" s="77"/>
      <c r="AA222" s="77"/>
      <c r="AB222" s="77"/>
    </row>
    <row r="223" spans="1:34" ht="17.25" customHeight="1">
      <c r="A223" s="77"/>
      <c r="B223" s="77"/>
      <c r="C223" s="611"/>
      <c r="D223" s="611" t="s">
        <v>621</v>
      </c>
      <c r="E223" s="860">
        <f>+F167</f>
        <v>20.88</v>
      </c>
      <c r="F223" s="860"/>
      <c r="G223" s="860"/>
      <c r="H223" s="611" t="s">
        <v>249</v>
      </c>
      <c r="I223" s="859">
        <f>+S195</f>
        <v>9.0250000000000004</v>
      </c>
      <c r="J223" s="859"/>
      <c r="K223" s="859"/>
      <c r="L223" s="636"/>
      <c r="M223" s="636"/>
      <c r="N223" s="611"/>
      <c r="O223" s="637"/>
      <c r="P223" s="637"/>
      <c r="Q223" s="611"/>
      <c r="R223" s="636"/>
      <c r="S223" s="611"/>
      <c r="T223" s="637"/>
      <c r="U223" s="637"/>
      <c r="V223" s="610"/>
      <c r="W223" s="77"/>
      <c r="X223" s="77"/>
      <c r="Y223" s="77"/>
      <c r="Z223" s="77"/>
      <c r="AA223" s="77"/>
      <c r="AB223" s="214"/>
      <c r="AC223" s="97"/>
    </row>
    <row r="224" spans="1:34" ht="17.25" customHeight="1">
      <c r="A224" s="6"/>
      <c r="B224" s="131"/>
      <c r="C224" s="611"/>
      <c r="D224" s="611" t="s">
        <v>238</v>
      </c>
      <c r="E224" s="860">
        <f>ROUND(E221*I221*M221,1)</f>
        <v>0</v>
      </c>
      <c r="F224" s="860"/>
      <c r="G224" s="860"/>
      <c r="H224" s="611" t="s">
        <v>623</v>
      </c>
      <c r="I224" s="860">
        <f>ROUND(E222*I222*M222*Q222,1)</f>
        <v>75</v>
      </c>
      <c r="J224" s="860"/>
      <c r="K224" s="860"/>
      <c r="L224" s="611" t="s">
        <v>623</v>
      </c>
      <c r="M224" s="860">
        <f>ROUND(E223*I223,1)</f>
        <v>188.4</v>
      </c>
      <c r="N224" s="860"/>
      <c r="O224" s="860"/>
      <c r="P224" s="611" t="s">
        <v>601</v>
      </c>
      <c r="Q224" s="860">
        <f>ROUND(M224+I224+E224,1)</f>
        <v>263.39999999999998</v>
      </c>
      <c r="R224" s="860"/>
      <c r="S224" s="860"/>
      <c r="T224" s="610" t="s">
        <v>624</v>
      </c>
      <c r="U224" s="610"/>
      <c r="V224" s="610"/>
      <c r="W224" s="77"/>
      <c r="X224" s="77"/>
      <c r="Y224" s="77"/>
      <c r="Z224" s="77"/>
      <c r="AA224" s="77"/>
      <c r="AB224" s="214"/>
      <c r="AC224" s="9"/>
    </row>
    <row r="225" spans="1:29" ht="17.25" customHeight="1">
      <c r="A225" s="6"/>
      <c r="B225" s="85"/>
      <c r="C225" s="611" t="s">
        <v>625</v>
      </c>
      <c r="D225" s="611" t="s">
        <v>238</v>
      </c>
      <c r="E225" s="860">
        <f>Q224</f>
        <v>263.39999999999998</v>
      </c>
      <c r="F225" s="860"/>
      <c r="G225" s="860"/>
      <c r="H225" s="611" t="s">
        <v>626</v>
      </c>
      <c r="I225" s="860">
        <v>3</v>
      </c>
      <c r="J225" s="860"/>
      <c r="K225" s="860"/>
      <c r="L225" s="611" t="s">
        <v>601</v>
      </c>
      <c r="M225" s="860">
        <f>ROUND(E225/I225,1)</f>
        <v>87.8</v>
      </c>
      <c r="N225" s="860"/>
      <c r="O225" s="860"/>
      <c r="P225" s="610" t="s">
        <v>624</v>
      </c>
      <c r="Q225" s="610"/>
      <c r="R225" s="610"/>
      <c r="S225" s="610"/>
      <c r="T225" s="610"/>
      <c r="U225" s="610"/>
      <c r="V225" s="610"/>
      <c r="W225" s="77"/>
      <c r="X225" s="85"/>
      <c r="Y225" s="85"/>
      <c r="Z225" s="85"/>
      <c r="AA225" s="85"/>
      <c r="AB225" s="215"/>
      <c r="AC225" s="216"/>
    </row>
    <row r="226" spans="1:29" ht="17.25" customHeight="1">
      <c r="A226" s="6"/>
      <c r="B226" s="157"/>
      <c r="C226" s="157"/>
      <c r="D226" s="158"/>
      <c r="E226" s="158"/>
      <c r="F226" s="157"/>
      <c r="G226" s="158"/>
      <c r="H226" s="158"/>
      <c r="I226" s="74"/>
      <c r="J226" s="76"/>
      <c r="K226" s="73"/>
      <c r="L226" s="76"/>
      <c r="M226" s="76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119"/>
      <c r="Y226" s="129"/>
      <c r="Z226" s="129"/>
      <c r="AA226" s="129"/>
      <c r="AB226" s="215"/>
      <c r="AC226" s="216"/>
    </row>
    <row r="227" spans="1:29" ht="17.25" customHeight="1">
      <c r="A227" s="224"/>
      <c r="B227" s="94"/>
      <c r="C227" s="228"/>
      <c r="D227" s="228"/>
      <c r="E227" s="228"/>
      <c r="F227" s="228"/>
      <c r="G227" s="229"/>
      <c r="H227" s="230"/>
      <c r="I227" s="230"/>
      <c r="J227" s="230"/>
      <c r="K227" s="231"/>
      <c r="L227" s="232"/>
      <c r="M227" s="232"/>
      <c r="N227" s="228"/>
      <c r="O227" s="233"/>
      <c r="P227" s="233"/>
      <c r="Q227" s="233"/>
      <c r="R227" s="234"/>
      <c r="S227" s="234"/>
      <c r="T227" s="235"/>
      <c r="U227" s="235"/>
      <c r="V227" s="235"/>
      <c r="W227" s="85"/>
      <c r="X227" s="85"/>
      <c r="Y227" s="85"/>
      <c r="Z227" s="85"/>
      <c r="AA227" s="85"/>
      <c r="AB227" s="215"/>
      <c r="AC227" s="217"/>
    </row>
    <row r="228" spans="1:29" ht="17.25" customHeight="1">
      <c r="A228" s="130"/>
      <c r="B228" s="1314" t="s">
        <v>254</v>
      </c>
      <c r="C228" s="1314"/>
      <c r="D228" s="1314"/>
      <c r="E228" s="1314"/>
      <c r="F228" s="1314"/>
      <c r="G228" s="1314"/>
      <c r="H228" s="1314"/>
      <c r="I228" s="1314"/>
      <c r="J228" s="1314"/>
      <c r="K228" s="1314"/>
      <c r="L228" s="1314"/>
      <c r="M228" s="1314"/>
      <c r="N228" s="1314"/>
      <c r="O228" s="1314"/>
      <c r="P228" s="1314"/>
      <c r="Q228" s="1314"/>
      <c r="R228" s="1314"/>
      <c r="S228" s="1315">
        <f>+M225</f>
        <v>87.8</v>
      </c>
      <c r="T228" s="1315"/>
      <c r="U228" s="1315"/>
      <c r="V228" s="1315"/>
      <c r="W228" s="1315"/>
      <c r="X228" s="1315"/>
      <c r="Y228" s="1315"/>
      <c r="Z228" s="1315"/>
      <c r="AA228" s="236"/>
      <c r="AB228" s="215"/>
      <c r="AC228" s="217"/>
    </row>
    <row r="229" spans="1:29" ht="17.25" customHeight="1">
      <c r="A229" s="130"/>
      <c r="B229" s="1316" t="s">
        <v>255</v>
      </c>
      <c r="C229" s="1316"/>
      <c r="D229" s="1316"/>
      <c r="E229" s="1316"/>
      <c r="F229" s="1316"/>
      <c r="G229" s="1316"/>
      <c r="H229" s="1316"/>
      <c r="I229" s="1316"/>
      <c r="J229" s="1316"/>
      <c r="K229" s="1316"/>
      <c r="L229" s="1316"/>
      <c r="M229" s="1316"/>
      <c r="N229" s="1316"/>
      <c r="O229" s="1316"/>
      <c r="P229" s="1316"/>
      <c r="Q229" s="1316"/>
      <c r="R229" s="1316"/>
      <c r="S229" s="1317">
        <f>+R5</f>
        <v>150</v>
      </c>
      <c r="T229" s="1317"/>
      <c r="U229" s="1317"/>
      <c r="V229" s="1317"/>
      <c r="W229" s="1317"/>
      <c r="X229" s="1317"/>
      <c r="Y229" s="1317"/>
      <c r="Z229" s="1317"/>
      <c r="AA229" s="237"/>
      <c r="AB229" s="77"/>
      <c r="AC229" s="217"/>
    </row>
    <row r="230" spans="1:29" ht="17.25" customHeight="1">
      <c r="A230" s="130"/>
      <c r="B230" s="1318" t="s">
        <v>257</v>
      </c>
      <c r="C230" s="1318"/>
      <c r="D230" s="1318"/>
      <c r="E230" s="1318"/>
      <c r="F230" s="1318"/>
      <c r="G230" s="1318"/>
      <c r="H230" s="1318"/>
      <c r="I230" s="1318"/>
      <c r="J230" s="1318"/>
      <c r="K230" s="1318"/>
      <c r="L230" s="1318"/>
      <c r="M230" s="1318"/>
      <c r="N230" s="1318"/>
      <c r="O230" s="1318"/>
      <c r="P230" s="1318"/>
      <c r="Q230" s="1318"/>
      <c r="R230" s="1318"/>
      <c r="S230" s="1318" t="str">
        <f>IF(S228 &gt;= S229, "O.K", "N.G")</f>
        <v>N.G</v>
      </c>
      <c r="T230" s="1318"/>
      <c r="U230" s="1318"/>
      <c r="V230" s="1318"/>
      <c r="W230" s="1318"/>
      <c r="X230" s="1318"/>
      <c r="Y230" s="1318"/>
      <c r="Z230" s="1318"/>
      <c r="AA230" s="238"/>
      <c r="AB230" s="77"/>
      <c r="AC230" s="2"/>
    </row>
    <row r="231" spans="1:29" ht="17.25" customHeight="1">
      <c r="A231" s="130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77"/>
      <c r="AC231" s="2"/>
    </row>
    <row r="232" spans="1:29" ht="17.25" customHeight="1">
      <c r="A232" s="130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77"/>
      <c r="AC232" s="2"/>
    </row>
    <row r="233" spans="1:29" ht="17.25" customHeight="1">
      <c r="A233" s="136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77"/>
      <c r="AC233" s="2"/>
    </row>
    <row r="234" spans="1:29" ht="17.25" customHeight="1">
      <c r="A234" s="130"/>
      <c r="B234" s="82" t="s">
        <v>668</v>
      </c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77"/>
      <c r="AC234" s="2"/>
    </row>
    <row r="235" spans="1:29" ht="17.25" customHeight="1">
      <c r="A235" s="130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77"/>
      <c r="AC235" s="2"/>
    </row>
    <row r="236" spans="1:29" ht="17.25" customHeight="1">
      <c r="A236" s="130"/>
      <c r="B236" s="1517" t="s">
        <v>157</v>
      </c>
      <c r="C236" s="1518"/>
      <c r="D236" s="1518"/>
      <c r="E236" s="1518"/>
      <c r="F236" s="1084" t="s">
        <v>158</v>
      </c>
      <c r="G236" s="1084"/>
      <c r="H236" s="1084"/>
      <c r="I236" s="1084"/>
      <c r="J236" s="1311" t="s">
        <v>232</v>
      </c>
      <c r="K236" s="1312"/>
      <c r="L236" s="1313"/>
      <c r="M236" s="1311" t="s">
        <v>628</v>
      </c>
      <c r="N236" s="1312"/>
      <c r="O236" s="1313"/>
      <c r="P236" s="1311" t="s">
        <v>619</v>
      </c>
      <c r="Q236" s="1312"/>
      <c r="R236" s="1313"/>
      <c r="S236" s="1311" t="s">
        <v>235</v>
      </c>
      <c r="T236" s="1312"/>
      <c r="U236" s="1313"/>
      <c r="V236" s="1311" t="s">
        <v>236</v>
      </c>
      <c r="W236" s="1312"/>
      <c r="X236" s="1312"/>
      <c r="Y236" s="1312"/>
      <c r="Z236" s="1312"/>
      <c r="AA236" s="239"/>
      <c r="AB236" s="77"/>
    </row>
    <row r="237" spans="1:29" ht="17.25" customHeight="1">
      <c r="A237" s="130"/>
      <c r="B237" s="1238">
        <f>$F$5</f>
        <v>1.85</v>
      </c>
      <c r="C237" s="1525"/>
      <c r="D237" s="1525"/>
      <c r="E237" s="1525"/>
      <c r="F237" s="1332">
        <f>$J$5</f>
        <v>2.5</v>
      </c>
      <c r="G237" s="1332"/>
      <c r="H237" s="1332"/>
      <c r="I237" s="1332"/>
      <c r="J237" s="1251">
        <f>+$N$5+T92/1000</f>
        <v>1.7599999999999998</v>
      </c>
      <c r="K237" s="1252"/>
      <c r="L237" s="1253"/>
      <c r="M237" s="1304">
        <f>+X97</f>
        <v>61.5</v>
      </c>
      <c r="N237" s="1305"/>
      <c r="O237" s="1306"/>
      <c r="P237" s="1307">
        <f>+F167</f>
        <v>20.88</v>
      </c>
      <c r="Q237" s="1252"/>
      <c r="R237" s="1253"/>
      <c r="S237" s="1308">
        <f>+O167</f>
        <v>16.432432432432432</v>
      </c>
      <c r="T237" s="1309"/>
      <c r="U237" s="1310"/>
      <c r="V237" s="1308">
        <f>+U134</f>
        <v>0</v>
      </c>
      <c r="W237" s="1309"/>
      <c r="X237" s="1309"/>
      <c r="Y237" s="1309"/>
      <c r="Z237" s="1309"/>
      <c r="AA237" s="239"/>
      <c r="AB237" s="77"/>
    </row>
    <row r="238" spans="1:29" ht="17.25" customHeight="1">
      <c r="A238" s="212"/>
      <c r="C238" s="6"/>
      <c r="D238" s="6"/>
      <c r="E238" s="82"/>
      <c r="F238" s="21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77"/>
    </row>
    <row r="239" spans="1:29" ht="17.25" customHeight="1">
      <c r="A239" s="6"/>
      <c r="B239" s="649" t="s">
        <v>630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85"/>
    </row>
    <row r="240" spans="1:29" ht="17.25" customHeight="1">
      <c r="A240" s="6"/>
      <c r="B240" s="641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85"/>
    </row>
    <row r="241" spans="1:35" ht="15" customHeight="1">
      <c r="A241" s="77"/>
      <c r="B241" s="77"/>
      <c r="C241" s="611" t="s">
        <v>620</v>
      </c>
      <c r="D241" s="77" t="s">
        <v>238</v>
      </c>
      <c r="E241" s="77" t="s">
        <v>629</v>
      </c>
      <c r="F241" s="77"/>
      <c r="G241" s="77"/>
      <c r="H241" s="77"/>
      <c r="I241" s="77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85"/>
    </row>
    <row r="242" spans="1:35" ht="9.75" customHeight="1">
      <c r="A242" s="77"/>
      <c r="B242" s="77"/>
      <c r="C242" s="213"/>
      <c r="D242" s="77"/>
      <c r="E242" s="77"/>
      <c r="F242" s="77"/>
      <c r="G242" s="77"/>
      <c r="H242" s="77"/>
      <c r="I242" s="77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85"/>
    </row>
    <row r="243" spans="1:35" ht="15" customHeight="1">
      <c r="A243" s="77"/>
      <c r="B243" s="77"/>
      <c r="C243" s="213"/>
      <c r="D243" s="213"/>
      <c r="E243" s="213" t="s">
        <v>240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236"/>
      <c r="AE243" s="452" t="s">
        <v>256</v>
      </c>
      <c r="AF243" s="452"/>
      <c r="AG243" s="452"/>
      <c r="AH243" s="452"/>
      <c r="AI243" s="452"/>
    </row>
    <row r="244" spans="1:35" ht="18" customHeight="1">
      <c r="A244" s="77"/>
      <c r="B244" s="77"/>
      <c r="C244" s="213"/>
      <c r="D244" s="213"/>
      <c r="E244" s="213" t="s">
        <v>241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237"/>
      <c r="AE244" s="452"/>
      <c r="AF244" s="452"/>
      <c r="AG244" s="452"/>
      <c r="AH244" s="452"/>
      <c r="AI244" s="452"/>
    </row>
    <row r="245" spans="1:35" ht="18" customHeight="1">
      <c r="A245" s="77"/>
      <c r="B245" s="77"/>
      <c r="C245" s="213"/>
      <c r="D245" s="213"/>
      <c r="E245" s="213" t="s">
        <v>242</v>
      </c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238"/>
    </row>
    <row r="246" spans="1:35" ht="13.5" customHeight="1">
      <c r="A246" s="77"/>
      <c r="B246" s="77"/>
      <c r="C246" s="213"/>
      <c r="D246" s="213"/>
      <c r="E246" s="77" t="s">
        <v>243</v>
      </c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239"/>
    </row>
    <row r="247" spans="1:35" ht="13.5" customHeight="1">
      <c r="A247" s="77"/>
      <c r="B247" s="77"/>
      <c r="C247" s="213"/>
      <c r="D247" s="213"/>
      <c r="E247" s="77" t="s">
        <v>244</v>
      </c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239"/>
    </row>
    <row r="248" spans="1:35" ht="13.5" customHeight="1">
      <c r="A248" s="77"/>
      <c r="B248" s="77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239"/>
    </row>
    <row r="249" spans="1:35" ht="13.5" customHeight="1">
      <c r="A249" s="77"/>
      <c r="B249" s="77"/>
      <c r="C249" s="611" t="s">
        <v>620</v>
      </c>
      <c r="D249" s="611" t="s">
        <v>238</v>
      </c>
      <c r="E249" s="932" t="str">
        <f>+W203</f>
        <v>1.22</v>
      </c>
      <c r="F249" s="932"/>
      <c r="G249" s="932"/>
      <c r="H249" s="611" t="s">
        <v>249</v>
      </c>
      <c r="I249" s="860">
        <f>+V237</f>
        <v>0</v>
      </c>
      <c r="J249" s="860"/>
      <c r="K249" s="860"/>
      <c r="L249" s="611" t="s">
        <v>249</v>
      </c>
      <c r="M249" s="859">
        <f>+F198</f>
        <v>20.4421</v>
      </c>
      <c r="N249" s="859"/>
      <c r="O249" s="859"/>
      <c r="P249" s="610"/>
      <c r="Q249" s="610"/>
      <c r="R249" s="610"/>
      <c r="S249" s="610"/>
      <c r="T249" s="610"/>
      <c r="U249" s="610"/>
      <c r="V249" s="77"/>
      <c r="W249" s="77"/>
      <c r="X249" s="77"/>
      <c r="Y249" s="77"/>
      <c r="Z249" s="77"/>
      <c r="AA249" s="77"/>
      <c r="AB249" s="239"/>
    </row>
    <row r="250" spans="1:35" ht="13.5" customHeight="1">
      <c r="A250" s="77"/>
      <c r="B250" s="77"/>
      <c r="C250" s="611"/>
      <c r="D250" s="611" t="s">
        <v>621</v>
      </c>
      <c r="E250" s="932" t="str">
        <f>+W204</f>
        <v>0.43</v>
      </c>
      <c r="F250" s="932"/>
      <c r="G250" s="932"/>
      <c r="H250" s="611" t="s">
        <v>622</v>
      </c>
      <c r="I250" s="862">
        <f>+O167</f>
        <v>16.432432432432432</v>
      </c>
      <c r="J250" s="862"/>
      <c r="K250" s="862"/>
      <c r="L250" s="611" t="s">
        <v>249</v>
      </c>
      <c r="M250" s="860">
        <f>+B237</f>
        <v>1.85</v>
      </c>
      <c r="N250" s="860"/>
      <c r="O250" s="860"/>
      <c r="P250" s="611" t="s">
        <v>249</v>
      </c>
      <c r="Q250" s="859">
        <f>+M198</f>
        <v>5.9870000000000001</v>
      </c>
      <c r="R250" s="859"/>
      <c r="S250" s="859"/>
      <c r="T250" s="610"/>
      <c r="U250" s="610"/>
      <c r="V250" s="77"/>
      <c r="W250" s="77"/>
      <c r="X250" s="77"/>
      <c r="Y250" s="77"/>
      <c r="Z250" s="77"/>
      <c r="AA250" s="77"/>
      <c r="AB250" s="239"/>
    </row>
    <row r="251" spans="1:35" ht="13.5" customHeight="1">
      <c r="A251" s="77"/>
      <c r="B251" s="77"/>
      <c r="C251" s="611"/>
      <c r="D251" s="611" t="s">
        <v>621</v>
      </c>
      <c r="E251" s="860">
        <f>+P237</f>
        <v>20.88</v>
      </c>
      <c r="F251" s="860"/>
      <c r="G251" s="860"/>
      <c r="H251" s="611" t="s">
        <v>249</v>
      </c>
      <c r="I251" s="859">
        <f>+S198</f>
        <v>9.3089999999999993</v>
      </c>
      <c r="J251" s="859"/>
      <c r="K251" s="859"/>
      <c r="L251" s="636"/>
      <c r="M251" s="636"/>
      <c r="N251" s="611"/>
      <c r="O251" s="637"/>
      <c r="P251" s="637"/>
      <c r="Q251" s="611"/>
      <c r="R251" s="636"/>
      <c r="S251" s="611"/>
      <c r="T251" s="637"/>
      <c r="U251" s="637"/>
      <c r="V251" s="77"/>
      <c r="W251" s="77"/>
      <c r="X251" s="77"/>
      <c r="Y251" s="77"/>
      <c r="Z251" s="77"/>
      <c r="AA251" s="77"/>
      <c r="AB251" s="239"/>
    </row>
    <row r="252" spans="1:35" ht="13.5" customHeight="1">
      <c r="A252" s="6"/>
      <c r="B252" s="131"/>
      <c r="C252" s="611"/>
      <c r="D252" s="611" t="s">
        <v>238</v>
      </c>
      <c r="E252" s="860">
        <f>ROUND(E249*I249*M249,1)</f>
        <v>0</v>
      </c>
      <c r="F252" s="860"/>
      <c r="G252" s="860"/>
      <c r="H252" s="611" t="s">
        <v>623</v>
      </c>
      <c r="I252" s="860">
        <f>ROUND(E250*I250*M250*Q250,1)</f>
        <v>78.3</v>
      </c>
      <c r="J252" s="860"/>
      <c r="K252" s="860"/>
      <c r="L252" s="611" t="s">
        <v>623</v>
      </c>
      <c r="M252" s="860">
        <f>ROUND(E251*I251,1)</f>
        <v>194.4</v>
      </c>
      <c r="N252" s="860"/>
      <c r="O252" s="860"/>
      <c r="P252" s="611" t="s">
        <v>601</v>
      </c>
      <c r="Q252" s="860">
        <f>ROUND(M252+I252+E252,1)</f>
        <v>272.7</v>
      </c>
      <c r="R252" s="860"/>
      <c r="S252" s="860"/>
      <c r="T252" s="610" t="s">
        <v>624</v>
      </c>
      <c r="U252" s="610"/>
      <c r="V252" s="77"/>
      <c r="W252" s="77"/>
      <c r="X252" s="77"/>
      <c r="Y252" s="77"/>
      <c r="Z252" s="77"/>
      <c r="AA252" s="77"/>
      <c r="AB252" s="239"/>
    </row>
    <row r="253" spans="1:35" ht="13.5" customHeight="1">
      <c r="A253" s="6"/>
      <c r="B253" s="131"/>
      <c r="C253" s="611" t="s">
        <v>625</v>
      </c>
      <c r="D253" s="611" t="s">
        <v>238</v>
      </c>
      <c r="E253" s="860">
        <f>Q252</f>
        <v>272.7</v>
      </c>
      <c r="F253" s="860"/>
      <c r="G253" s="860"/>
      <c r="H253" s="611" t="s">
        <v>626</v>
      </c>
      <c r="I253" s="860">
        <v>3</v>
      </c>
      <c r="J253" s="860"/>
      <c r="K253" s="860"/>
      <c r="L253" s="611" t="s">
        <v>601</v>
      </c>
      <c r="M253" s="861">
        <f>ROUND(E253/I253,1)</f>
        <v>90.9</v>
      </c>
      <c r="N253" s="861"/>
      <c r="O253" s="861"/>
      <c r="P253" s="610" t="s">
        <v>624</v>
      </c>
      <c r="Q253" s="610"/>
      <c r="R253" s="610"/>
      <c r="S253" s="610"/>
      <c r="T253" s="610"/>
      <c r="U253" s="610"/>
      <c r="V253" s="77"/>
      <c r="W253" s="77"/>
      <c r="X253" s="77"/>
      <c r="Y253" s="77"/>
      <c r="Z253" s="77"/>
      <c r="AA253" s="77"/>
      <c r="AB253" s="239"/>
    </row>
    <row r="254" spans="1:35" ht="13.5" customHeight="1">
      <c r="A254" s="6"/>
      <c r="B254" s="131"/>
      <c r="C254" s="74"/>
      <c r="D254" s="74"/>
      <c r="E254" s="6"/>
      <c r="F254" s="76"/>
      <c r="G254" s="6"/>
      <c r="H254" s="6"/>
      <c r="I254" s="74"/>
      <c r="J254" s="76"/>
      <c r="K254" s="73"/>
      <c r="L254" s="76"/>
      <c r="M254" s="76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239"/>
    </row>
    <row r="255" spans="1:35" ht="13.5" customHeight="1">
      <c r="A255" s="6"/>
      <c r="B255" s="131"/>
      <c r="C255" s="74"/>
      <c r="D255" s="74"/>
      <c r="E255" s="6"/>
      <c r="F255" s="76"/>
      <c r="G255" s="6"/>
      <c r="H255" s="6"/>
      <c r="I255" s="74"/>
      <c r="J255" s="76"/>
      <c r="K255" s="73"/>
      <c r="L255" s="76"/>
      <c r="M255" s="76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239"/>
    </row>
    <row r="256" spans="1:35" ht="13.5" customHeight="1">
      <c r="A256" s="6"/>
      <c r="B256" s="649" t="s">
        <v>632</v>
      </c>
      <c r="C256" s="609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0"/>
      <c r="P256" s="610"/>
      <c r="Q256" s="610"/>
      <c r="R256" s="610"/>
      <c r="S256" s="610"/>
      <c r="T256" s="610"/>
      <c r="U256" s="610"/>
      <c r="V256" s="610"/>
      <c r="W256" s="610"/>
      <c r="X256" s="610"/>
      <c r="Y256" s="610"/>
      <c r="Z256" s="642"/>
      <c r="AA256" s="77"/>
      <c r="AB256" s="239"/>
    </row>
    <row r="257" spans="1:28" ht="13.5" customHeight="1">
      <c r="A257" s="6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0"/>
      <c r="P257" s="610"/>
      <c r="Q257" s="610"/>
      <c r="R257" s="610"/>
      <c r="S257" s="610"/>
      <c r="T257" s="610"/>
      <c r="U257" s="610"/>
      <c r="V257" s="610"/>
      <c r="W257" s="610"/>
      <c r="X257" s="610"/>
      <c r="Y257" s="610"/>
      <c r="Z257" s="610"/>
      <c r="AA257" s="77"/>
      <c r="AB257" s="239"/>
    </row>
    <row r="258" spans="1:28" ht="13.5" customHeight="1">
      <c r="A258" s="6"/>
      <c r="B258" s="610"/>
      <c r="C258" s="611" t="s">
        <v>620</v>
      </c>
      <c r="D258" s="611" t="s">
        <v>601</v>
      </c>
      <c r="E258" s="643" t="s">
        <v>633</v>
      </c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77"/>
      <c r="AB258" s="239"/>
    </row>
    <row r="259" spans="1:28" ht="13.5" customHeight="1">
      <c r="A259" s="6"/>
      <c r="B259" s="610"/>
      <c r="C259" s="611"/>
      <c r="D259" s="611"/>
      <c r="E259" s="643"/>
      <c r="F259" s="610"/>
      <c r="G259" s="610"/>
      <c r="H259" s="610"/>
      <c r="I259" s="610"/>
      <c r="J259" s="610"/>
      <c r="K259" s="610"/>
      <c r="L259" s="610"/>
      <c r="M259" s="610"/>
      <c r="N259" s="610"/>
      <c r="O259" s="610"/>
      <c r="P259" s="610"/>
      <c r="Q259" s="610"/>
      <c r="R259" s="610"/>
      <c r="S259" s="610"/>
      <c r="T259" s="610"/>
      <c r="U259" s="610"/>
      <c r="V259" s="610"/>
      <c r="W259" s="610"/>
      <c r="X259" s="610"/>
      <c r="Y259" s="610"/>
      <c r="Z259" s="610"/>
      <c r="AA259" s="77"/>
      <c r="AB259" s="239"/>
    </row>
    <row r="260" spans="1:28" ht="13.5" customHeight="1">
      <c r="A260" s="6"/>
      <c r="B260" s="610"/>
      <c r="C260" s="610" t="s">
        <v>634</v>
      </c>
      <c r="D260" s="610"/>
      <c r="E260" s="610" t="s">
        <v>635</v>
      </c>
      <c r="F260" s="610"/>
      <c r="G260" s="610"/>
      <c r="H260" s="610"/>
      <c r="I260" s="610"/>
      <c r="J260" s="610"/>
      <c r="K260" s="610"/>
      <c r="L260" s="610"/>
      <c r="M260" s="610"/>
      <c r="N260" s="610"/>
      <c r="O260" s="610"/>
      <c r="P260" s="610"/>
      <c r="Q260" s="610"/>
      <c r="R260" s="610"/>
      <c r="S260" s="610"/>
      <c r="T260" s="610"/>
      <c r="U260" s="610"/>
      <c r="V260" s="610"/>
      <c r="W260" s="610"/>
      <c r="X260" s="610"/>
      <c r="Y260" s="610"/>
      <c r="Z260" s="610"/>
      <c r="AA260" s="77"/>
      <c r="AB260" s="239"/>
    </row>
    <row r="261" spans="1:28" ht="13.5" customHeight="1">
      <c r="A261" s="6"/>
      <c r="B261" s="610"/>
      <c r="C261" s="610"/>
      <c r="D261" s="610"/>
      <c r="E261" s="610" t="s">
        <v>636</v>
      </c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  <c r="P261" s="610"/>
      <c r="Q261" s="610"/>
      <c r="R261" s="610"/>
      <c r="S261" s="610"/>
      <c r="T261" s="610"/>
      <c r="U261" s="610"/>
      <c r="V261" s="610"/>
      <c r="W261" s="610"/>
      <c r="X261" s="610"/>
      <c r="Y261" s="610"/>
      <c r="Z261" s="610"/>
      <c r="AA261" s="77"/>
      <c r="AB261" s="239"/>
    </row>
    <row r="262" spans="1:28" ht="13.5" customHeight="1">
      <c r="A262" s="6"/>
      <c r="B262" s="610"/>
      <c r="C262" s="610"/>
      <c r="D262" s="610"/>
      <c r="E262" s="610" t="s">
        <v>637</v>
      </c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  <c r="P262" s="610"/>
      <c r="Q262" s="610"/>
      <c r="R262" s="610"/>
      <c r="S262" s="610"/>
      <c r="T262" s="610"/>
      <c r="U262" s="610"/>
      <c r="V262" s="610"/>
      <c r="W262" s="610"/>
      <c r="X262" s="610"/>
      <c r="Y262" s="610"/>
      <c r="Z262" s="610"/>
      <c r="AA262" s="77"/>
      <c r="AB262" s="239"/>
    </row>
    <row r="263" spans="1:28" ht="13.5" customHeight="1">
      <c r="A263" s="6"/>
      <c r="B263" s="610"/>
      <c r="C263" s="610"/>
      <c r="D263" s="610"/>
      <c r="E263" s="610" t="s">
        <v>638</v>
      </c>
      <c r="F263" s="610"/>
      <c r="G263" s="610"/>
      <c r="H263" s="610"/>
      <c r="I263" s="610"/>
      <c r="J263" s="610"/>
      <c r="K263" s="610"/>
      <c r="L263" s="610"/>
      <c r="M263" s="610"/>
      <c r="N263" s="610"/>
      <c r="O263" s="610"/>
      <c r="P263" s="610"/>
      <c r="Q263" s="610"/>
      <c r="R263" s="610"/>
      <c r="S263" s="610"/>
      <c r="T263" s="610"/>
      <c r="U263" s="610"/>
      <c r="V263" s="610"/>
      <c r="W263" s="610"/>
      <c r="X263" s="610"/>
      <c r="Y263" s="610"/>
      <c r="Z263" s="610"/>
      <c r="AA263" s="77"/>
      <c r="AB263" s="239"/>
    </row>
    <row r="264" spans="1:28" ht="13.5" customHeight="1">
      <c r="A264" s="6"/>
      <c r="B264" s="610"/>
      <c r="C264" s="610"/>
      <c r="D264" s="610"/>
      <c r="E264" s="610" t="s">
        <v>639</v>
      </c>
      <c r="F264" s="610"/>
      <c r="G264" s="610"/>
      <c r="H264" s="610"/>
      <c r="I264" s="610"/>
      <c r="J264" s="610"/>
      <c r="K264" s="610"/>
      <c r="L264" s="610"/>
      <c r="M264" s="610"/>
      <c r="N264" s="610"/>
      <c r="O264" s="610"/>
      <c r="P264" s="610"/>
      <c r="Q264" s="610"/>
      <c r="R264" s="610"/>
      <c r="S264" s="610"/>
      <c r="T264" s="610"/>
      <c r="U264" s="610"/>
      <c r="V264" s="610"/>
      <c r="W264" s="610"/>
      <c r="X264" s="610"/>
      <c r="Y264" s="610"/>
      <c r="Z264" s="610"/>
      <c r="AA264" s="77"/>
      <c r="AB264" s="239"/>
    </row>
    <row r="265" spans="1:28" ht="13.5" customHeight="1">
      <c r="A265" s="6"/>
      <c r="B265" s="610"/>
      <c r="C265" s="610"/>
      <c r="D265" s="610"/>
      <c r="E265" s="610" t="s">
        <v>640</v>
      </c>
      <c r="F265" s="610"/>
      <c r="G265" s="610"/>
      <c r="H265" s="610"/>
      <c r="I265" s="610"/>
      <c r="J265" s="610"/>
      <c r="K265" s="610"/>
      <c r="L265" s="610"/>
      <c r="M265" s="610"/>
      <c r="N265" s="610"/>
      <c r="O265" s="610"/>
      <c r="P265" s="610"/>
      <c r="Q265" s="610"/>
      <c r="R265" s="610"/>
      <c r="S265" s="610"/>
      <c r="T265" s="610"/>
      <c r="U265" s="610"/>
      <c r="V265" s="610"/>
      <c r="W265" s="610"/>
      <c r="X265" s="610"/>
      <c r="Y265" s="610"/>
      <c r="Z265" s="610"/>
      <c r="AA265" s="77"/>
      <c r="AB265" s="239"/>
    </row>
    <row r="266" spans="1:28" ht="13.5" customHeight="1">
      <c r="A266" s="6"/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  <c r="P266" s="610"/>
      <c r="Q266" s="610"/>
      <c r="R266" s="610"/>
      <c r="S266" s="610"/>
      <c r="T266" s="610"/>
      <c r="U266" s="610"/>
      <c r="V266" s="610"/>
      <c r="W266" s="610"/>
      <c r="X266" s="610"/>
      <c r="Y266" s="610"/>
      <c r="Z266" s="610"/>
      <c r="AA266" s="77"/>
      <c r="AB266" s="239"/>
    </row>
    <row r="267" spans="1:28" ht="13.5" customHeight="1">
      <c r="A267" s="6"/>
      <c r="B267" s="610"/>
      <c r="C267" s="610" t="s">
        <v>641</v>
      </c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  <c r="P267" s="610"/>
      <c r="Q267" s="610"/>
      <c r="R267" s="610"/>
      <c r="S267" s="610"/>
      <c r="T267" s="610"/>
      <c r="U267" s="610"/>
      <c r="V267" s="610"/>
      <c r="W267" s="610"/>
      <c r="X267" s="610"/>
      <c r="Y267" s="610"/>
      <c r="Z267" s="610"/>
      <c r="AA267" s="77"/>
      <c r="AB267" s="239"/>
    </row>
    <row r="268" spans="1:28" ht="13.5" customHeight="1">
      <c r="A268" s="6"/>
      <c r="B268" s="610"/>
      <c r="C268" s="610"/>
      <c r="D268" s="644" t="s">
        <v>642</v>
      </c>
      <c r="E268" s="611" t="s">
        <v>601</v>
      </c>
      <c r="F268" s="643" t="s">
        <v>643</v>
      </c>
      <c r="G268" s="610"/>
      <c r="H268" s="610"/>
      <c r="I268" s="610"/>
      <c r="J268" s="610"/>
      <c r="K268" s="610"/>
      <c r="L268" s="610"/>
      <c r="M268" s="611" t="s">
        <v>601</v>
      </c>
      <c r="N268" s="932">
        <f>IF($U$135=0,5.14,ROUND((N269-1) / TAN(RADIANS($U$135)),3))</f>
        <v>17.016999999999999</v>
      </c>
      <c r="O268" s="932"/>
      <c r="P268" s="932"/>
      <c r="Q268" s="610"/>
      <c r="R268" s="610"/>
      <c r="S268" s="610"/>
      <c r="T268" s="610"/>
      <c r="U268" s="610"/>
      <c r="V268" s="610"/>
      <c r="W268" s="610"/>
      <c r="X268" s="610"/>
      <c r="Y268" s="610"/>
      <c r="Z268" s="610"/>
      <c r="AA268" s="77"/>
      <c r="AB268" s="239"/>
    </row>
    <row r="269" spans="1:28" ht="13.5" customHeight="1">
      <c r="A269" s="6"/>
      <c r="B269" s="610"/>
      <c r="C269" s="610"/>
      <c r="D269" s="644" t="s">
        <v>644</v>
      </c>
      <c r="E269" s="611" t="s">
        <v>601</v>
      </c>
      <c r="F269" s="643" t="s">
        <v>645</v>
      </c>
      <c r="G269" s="610"/>
      <c r="H269" s="610"/>
      <c r="I269" s="610"/>
      <c r="J269" s="610"/>
      <c r="K269" s="610"/>
      <c r="L269" s="610"/>
      <c r="M269" s="611" t="s">
        <v>601</v>
      </c>
      <c r="N269" s="932">
        <f>ROUND((TAN(RADIANS(45+0.5*$U$135)))^2   *   EXP(PI()*TAN(RADIANS($U$135))),3)</f>
        <v>7.9169999999999998</v>
      </c>
      <c r="O269" s="932"/>
      <c r="P269" s="932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77"/>
      <c r="AB269" s="239"/>
    </row>
    <row r="270" spans="1:28" ht="13.5" customHeight="1">
      <c r="A270" s="6"/>
      <c r="B270" s="610"/>
      <c r="C270" s="610"/>
      <c r="D270" s="644" t="s">
        <v>646</v>
      </c>
      <c r="E270" s="611" t="s">
        <v>601</v>
      </c>
      <c r="F270" s="643" t="s">
        <v>647</v>
      </c>
      <c r="G270" s="643"/>
      <c r="H270" s="643"/>
      <c r="I270" s="610"/>
      <c r="J270" s="610"/>
      <c r="K270" s="610"/>
      <c r="L270" s="610"/>
      <c r="M270" s="611" t="s">
        <v>601</v>
      </c>
      <c r="N270" s="932">
        <f>(N269-1)   *   TAN(RADIANS(1.4*$U$135))</f>
        <v>4.1508967456657979</v>
      </c>
      <c r="O270" s="932"/>
      <c r="P270" s="932"/>
      <c r="Q270" s="610"/>
      <c r="R270" s="610"/>
      <c r="S270" s="610"/>
      <c r="T270" s="610"/>
      <c r="U270" s="610"/>
      <c r="V270" s="610"/>
      <c r="W270" s="610"/>
      <c r="X270" s="610"/>
      <c r="Y270" s="610"/>
      <c r="Z270" s="610"/>
      <c r="AA270" s="77"/>
      <c r="AB270" s="239"/>
    </row>
    <row r="271" spans="1:28" ht="13.5" customHeight="1">
      <c r="A271" s="6"/>
      <c r="B271" s="610"/>
      <c r="C271" s="610"/>
      <c r="D271" s="644"/>
      <c r="E271" s="611"/>
      <c r="F271" s="643"/>
      <c r="G271" s="643"/>
      <c r="H271" s="643"/>
      <c r="I271" s="610"/>
      <c r="J271" s="610"/>
      <c r="K271" s="610"/>
      <c r="L271" s="610"/>
      <c r="M271" s="611"/>
      <c r="N271" s="645"/>
      <c r="O271" s="645"/>
      <c r="P271" s="645"/>
      <c r="Q271" s="610"/>
      <c r="R271" s="610"/>
      <c r="S271" s="610"/>
      <c r="T271" s="610"/>
      <c r="U271" s="610"/>
      <c r="V271" s="610"/>
      <c r="W271" s="610"/>
      <c r="X271" s="610"/>
      <c r="Y271" s="610"/>
      <c r="Z271" s="610"/>
      <c r="AA271" s="77"/>
      <c r="AB271" s="239"/>
    </row>
    <row r="272" spans="1:28" ht="13.5" customHeight="1">
      <c r="A272" s="6"/>
      <c r="B272" s="610"/>
      <c r="C272" s="610" t="s">
        <v>648</v>
      </c>
      <c r="D272" s="610"/>
      <c r="E272" s="610"/>
      <c r="F272" s="611"/>
      <c r="G272" s="610"/>
      <c r="H272" s="610"/>
      <c r="I272" s="610"/>
      <c r="J272" s="610"/>
      <c r="K272" s="610"/>
      <c r="L272" s="610"/>
      <c r="M272" s="610"/>
      <c r="N272" s="610"/>
      <c r="O272" s="610"/>
      <c r="P272" s="610"/>
      <c r="Q272" s="610"/>
      <c r="R272" s="610"/>
      <c r="S272" s="610"/>
      <c r="T272" s="610"/>
      <c r="U272" s="610"/>
      <c r="V272" s="610"/>
      <c r="W272" s="610"/>
      <c r="X272" s="610"/>
      <c r="Y272" s="610"/>
      <c r="Z272" s="610"/>
      <c r="AA272" s="77"/>
      <c r="AB272" s="239"/>
    </row>
    <row r="273" spans="1:28" ht="13.5" customHeight="1">
      <c r="A273" s="6"/>
      <c r="B273" s="610"/>
      <c r="C273" s="610"/>
      <c r="D273" s="644" t="s">
        <v>649</v>
      </c>
      <c r="E273" s="611" t="s">
        <v>601</v>
      </c>
      <c r="F273" s="646" t="s">
        <v>650</v>
      </c>
      <c r="G273" s="610"/>
      <c r="H273" s="610"/>
      <c r="I273" s="610"/>
      <c r="J273" s="610"/>
      <c r="K273" s="610"/>
      <c r="L273" s="610"/>
      <c r="M273" s="611" t="s">
        <v>601</v>
      </c>
      <c r="N273" s="932">
        <f>1+0.2*N276*($F$5/$J$5)</f>
        <v>1.3267756658758139</v>
      </c>
      <c r="O273" s="932"/>
      <c r="P273" s="932"/>
      <c r="Q273" s="610"/>
      <c r="R273" s="610" t="s">
        <v>651</v>
      </c>
      <c r="S273" s="610"/>
      <c r="T273" s="610"/>
      <c r="U273" s="610"/>
      <c r="V273" s="610"/>
      <c r="W273" s="610"/>
      <c r="X273" s="610"/>
      <c r="Y273" s="610"/>
      <c r="Z273" s="610"/>
      <c r="AA273" s="77"/>
      <c r="AB273" s="239"/>
    </row>
    <row r="274" spans="1:28" ht="13.5" customHeight="1">
      <c r="A274" s="6"/>
      <c r="B274" s="610"/>
      <c r="C274" s="610"/>
      <c r="D274" s="644" t="s">
        <v>652</v>
      </c>
      <c r="E274" s="611" t="s">
        <v>601</v>
      </c>
      <c r="F274" s="644" t="s">
        <v>653</v>
      </c>
      <c r="G274" s="610"/>
      <c r="H274" s="610"/>
      <c r="I274" s="610"/>
      <c r="J274" s="610"/>
      <c r="K274" s="610"/>
      <c r="L274" s="610"/>
      <c r="M274" s="611" t="s">
        <v>601</v>
      </c>
      <c r="N274" s="932">
        <v>1</v>
      </c>
      <c r="O274" s="932"/>
      <c r="P274" s="932"/>
      <c r="Q274" s="610"/>
      <c r="R274" s="610" t="s">
        <v>654</v>
      </c>
      <c r="S274" s="610"/>
      <c r="T274" s="610"/>
      <c r="U274" s="610"/>
      <c r="V274" s="610"/>
      <c r="W274" s="610"/>
      <c r="X274" s="610"/>
      <c r="Y274" s="610"/>
      <c r="Z274" s="610"/>
      <c r="AA274" s="77"/>
      <c r="AB274" s="239"/>
    </row>
    <row r="275" spans="1:28" ht="13.5" customHeight="1">
      <c r="A275" s="6"/>
      <c r="B275" s="610"/>
      <c r="C275" s="610"/>
      <c r="D275" s="644" t="s">
        <v>652</v>
      </c>
      <c r="E275" s="611" t="s">
        <v>601</v>
      </c>
      <c r="F275" s="644" t="s">
        <v>653</v>
      </c>
      <c r="G275" s="611" t="s">
        <v>601</v>
      </c>
      <c r="H275" s="646" t="s">
        <v>655</v>
      </c>
      <c r="I275" s="610"/>
      <c r="J275" s="610"/>
      <c r="K275" s="610"/>
      <c r="L275" s="610"/>
      <c r="M275" s="611" t="s">
        <v>601</v>
      </c>
      <c r="N275" s="932">
        <f>1+0.1*N276*($F$5/$J$5)</f>
        <v>1.1633878329379068</v>
      </c>
      <c r="O275" s="932"/>
      <c r="P275" s="932"/>
      <c r="Q275" s="610"/>
      <c r="R275" s="610" t="s">
        <v>656</v>
      </c>
      <c r="S275" s="610"/>
      <c r="T275" s="610"/>
      <c r="U275" s="610"/>
      <c r="V275" s="610"/>
      <c r="W275" s="610"/>
      <c r="X275" s="610"/>
      <c r="Y275" s="610"/>
      <c r="Z275" s="610"/>
      <c r="AA275" s="77"/>
      <c r="AB275" s="239"/>
    </row>
    <row r="276" spans="1:28" ht="13.5" customHeight="1">
      <c r="A276" s="6"/>
      <c r="B276" s="610"/>
      <c r="C276" s="610"/>
      <c r="D276" s="610"/>
      <c r="E276" s="647" t="s">
        <v>657</v>
      </c>
      <c r="F276" s="611" t="s">
        <v>658</v>
      </c>
      <c r="G276" s="611" t="s">
        <v>601</v>
      </c>
      <c r="H276" s="610" t="s">
        <v>659</v>
      </c>
      <c r="I276" s="610"/>
      <c r="J276" s="610"/>
      <c r="K276" s="610"/>
      <c r="L276" s="610"/>
      <c r="M276" s="611" t="s">
        <v>601</v>
      </c>
      <c r="N276" s="932">
        <f>(TAN(RADIANS(45+U135/2)))^2</f>
        <v>2.2079436883500936</v>
      </c>
      <c r="O276" s="932"/>
      <c r="P276" s="932"/>
      <c r="Q276" s="610"/>
      <c r="R276" s="610"/>
      <c r="S276" s="610"/>
      <c r="T276" s="610"/>
      <c r="U276" s="610"/>
      <c r="V276" s="610"/>
      <c r="W276" s="610"/>
      <c r="X276" s="610"/>
      <c r="Y276" s="610"/>
      <c r="Z276" s="610"/>
      <c r="AA276" s="77"/>
      <c r="AB276" s="239"/>
    </row>
    <row r="277" spans="1:28" ht="13.5" customHeight="1">
      <c r="A277" s="6"/>
      <c r="B277" s="610"/>
      <c r="C277" s="610"/>
      <c r="D277" s="610"/>
      <c r="E277" s="647"/>
      <c r="F277" s="611"/>
      <c r="G277" s="611"/>
      <c r="H277" s="610"/>
      <c r="I277" s="610"/>
      <c r="J277" s="610"/>
      <c r="K277" s="610"/>
      <c r="L277" s="610"/>
      <c r="M277" s="611"/>
      <c r="N277" s="645"/>
      <c r="O277" s="645"/>
      <c r="P277" s="645"/>
      <c r="Q277" s="610"/>
      <c r="R277" s="610"/>
      <c r="S277" s="610"/>
      <c r="T277" s="610"/>
      <c r="U277" s="610"/>
      <c r="V277" s="610"/>
      <c r="W277" s="610"/>
      <c r="X277" s="610"/>
      <c r="Y277" s="610"/>
      <c r="Z277" s="610"/>
      <c r="AA277" s="77"/>
      <c r="AB277" s="239"/>
    </row>
    <row r="278" spans="1:28" ht="13.5" customHeight="1">
      <c r="A278" s="6"/>
      <c r="B278" s="610"/>
      <c r="C278" s="610" t="s">
        <v>660</v>
      </c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610"/>
      <c r="P278" s="610"/>
      <c r="Q278" s="610"/>
      <c r="R278" s="610"/>
      <c r="S278" s="610"/>
      <c r="T278" s="610"/>
      <c r="U278" s="610"/>
      <c r="V278" s="610"/>
      <c r="W278" s="610"/>
      <c r="X278" s="610"/>
      <c r="Y278" s="610"/>
      <c r="Z278" s="610"/>
      <c r="AA278" s="77"/>
      <c r="AB278" s="239"/>
    </row>
    <row r="279" spans="1:28" ht="13.5" customHeight="1">
      <c r="A279" s="6"/>
      <c r="B279" s="610"/>
      <c r="C279" s="610"/>
      <c r="D279" s="644" t="s">
        <v>661</v>
      </c>
      <c r="E279" s="611" t="s">
        <v>601</v>
      </c>
      <c r="F279" s="646" t="s">
        <v>662</v>
      </c>
      <c r="G279" s="610"/>
      <c r="H279" s="610"/>
      <c r="I279" s="610"/>
      <c r="J279" s="610"/>
      <c r="K279" s="610"/>
      <c r="L279" s="610"/>
      <c r="M279" s="611" t="s">
        <v>601</v>
      </c>
      <c r="N279" s="932">
        <f>1+0.2*SQRT(N282)*($N$5/$F$5)</f>
        <v>1.1863417856798617</v>
      </c>
      <c r="O279" s="932"/>
      <c r="P279" s="932"/>
      <c r="Q279" s="610"/>
      <c r="R279" s="610" t="s">
        <v>651</v>
      </c>
      <c r="S279" s="610"/>
      <c r="T279" s="610"/>
      <c r="U279" s="610"/>
      <c r="V279" s="610"/>
      <c r="W279" s="610"/>
      <c r="X279" s="610"/>
      <c r="Y279" s="610"/>
      <c r="Z279" s="610"/>
      <c r="AA279" s="77"/>
      <c r="AB279" s="239"/>
    </row>
    <row r="280" spans="1:28" ht="13.5" customHeight="1">
      <c r="A280" s="6"/>
      <c r="B280" s="610"/>
      <c r="C280" s="610"/>
      <c r="D280" s="644" t="s">
        <v>663</v>
      </c>
      <c r="E280" s="611" t="s">
        <v>601</v>
      </c>
      <c r="F280" s="644" t="s">
        <v>664</v>
      </c>
      <c r="G280" s="610"/>
      <c r="H280" s="610"/>
      <c r="I280" s="610"/>
      <c r="J280" s="610"/>
      <c r="K280" s="610"/>
      <c r="L280" s="610"/>
      <c r="M280" s="611" t="s">
        <v>601</v>
      </c>
      <c r="N280" s="932">
        <v>1</v>
      </c>
      <c r="O280" s="932"/>
      <c r="P280" s="932"/>
      <c r="Q280" s="610"/>
      <c r="R280" s="610" t="s">
        <v>654</v>
      </c>
      <c r="S280" s="610"/>
      <c r="T280" s="610"/>
      <c r="U280" s="610"/>
      <c r="V280" s="610"/>
      <c r="W280" s="610"/>
      <c r="X280" s="610"/>
      <c r="Y280" s="610"/>
      <c r="Z280" s="610"/>
      <c r="AA280" s="77"/>
      <c r="AB280" s="239"/>
    </row>
    <row r="281" spans="1:28" ht="13.5" customHeight="1">
      <c r="A281" s="6"/>
      <c r="B281" s="610"/>
      <c r="C281" s="610"/>
      <c r="D281" s="644" t="s">
        <v>663</v>
      </c>
      <c r="E281" s="611" t="s">
        <v>601</v>
      </c>
      <c r="F281" s="644" t="s">
        <v>664</v>
      </c>
      <c r="G281" s="611" t="s">
        <v>601</v>
      </c>
      <c r="H281" s="646" t="s">
        <v>665</v>
      </c>
      <c r="I281" s="610"/>
      <c r="J281" s="610"/>
      <c r="K281" s="610"/>
      <c r="L281" s="610"/>
      <c r="M281" s="611" t="s">
        <v>601</v>
      </c>
      <c r="N281" s="932">
        <f>1+0.1*SQRT(N282)*($N$5/$F$5)</f>
        <v>1.0931708928399309</v>
      </c>
      <c r="O281" s="932"/>
      <c r="P281" s="932"/>
      <c r="Q281" s="610"/>
      <c r="R281" s="610" t="s">
        <v>656</v>
      </c>
      <c r="S281" s="610"/>
      <c r="T281" s="610"/>
      <c r="U281" s="610"/>
      <c r="V281" s="610"/>
      <c r="W281" s="610"/>
      <c r="X281" s="610"/>
      <c r="Y281" s="610"/>
      <c r="Z281" s="610"/>
      <c r="AA281" s="77"/>
      <c r="AB281" s="239"/>
    </row>
    <row r="282" spans="1:28" ht="13.5" customHeight="1">
      <c r="A282" s="6"/>
      <c r="B282" s="610"/>
      <c r="C282" s="610"/>
      <c r="D282" s="610"/>
      <c r="E282" s="647" t="s">
        <v>657</v>
      </c>
      <c r="F282" s="611" t="s">
        <v>658</v>
      </c>
      <c r="G282" s="611" t="s">
        <v>601</v>
      </c>
      <c r="H282" s="610" t="s">
        <v>659</v>
      </c>
      <c r="I282" s="610"/>
      <c r="J282" s="610"/>
      <c r="K282" s="610"/>
      <c r="L282" s="610"/>
      <c r="M282" s="611" t="s">
        <v>601</v>
      </c>
      <c r="N282" s="932">
        <f>(TAN(RADIANS(45+U135/2)))^2</f>
        <v>2.2079436883500936</v>
      </c>
      <c r="O282" s="932"/>
      <c r="P282" s="932"/>
      <c r="Q282" s="610"/>
      <c r="R282" s="610"/>
      <c r="S282" s="610"/>
      <c r="T282" s="610"/>
      <c r="U282" s="610"/>
      <c r="V282" s="610"/>
      <c r="W282" s="610"/>
      <c r="X282" s="610"/>
      <c r="Y282" s="610"/>
      <c r="Z282" s="610"/>
      <c r="AA282" s="77"/>
      <c r="AB282" s="239"/>
    </row>
    <row r="283" spans="1:28" ht="13.5" customHeight="1">
      <c r="A283" s="6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0"/>
      <c r="P283" s="610"/>
      <c r="Q283" s="610"/>
      <c r="R283" s="610"/>
      <c r="S283" s="610"/>
      <c r="T283" s="610"/>
      <c r="U283" s="610"/>
      <c r="V283" s="610"/>
      <c r="W283" s="610"/>
      <c r="X283" s="610"/>
      <c r="Y283" s="610"/>
      <c r="Z283" s="610"/>
      <c r="AA283" s="77"/>
      <c r="AB283" s="239"/>
    </row>
    <row r="284" spans="1:28" ht="13.5" customHeight="1">
      <c r="A284" s="6"/>
      <c r="B284" s="610"/>
      <c r="C284" s="610" t="s">
        <v>666</v>
      </c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77"/>
      <c r="AB284" s="239"/>
    </row>
    <row r="285" spans="1:28" ht="13.5" customHeight="1">
      <c r="A285" s="6"/>
      <c r="B285" s="610"/>
      <c r="C285" s="610"/>
      <c r="D285" s="611" t="s">
        <v>620</v>
      </c>
      <c r="E285" s="611" t="s">
        <v>238</v>
      </c>
      <c r="F285" s="860">
        <f>+V237</f>
        <v>0</v>
      </c>
      <c r="G285" s="860"/>
      <c r="H285" s="611" t="s">
        <v>249</v>
      </c>
      <c r="I285" s="932">
        <f>+N268</f>
        <v>17.016999999999999</v>
      </c>
      <c r="J285" s="932"/>
      <c r="K285" s="932"/>
      <c r="L285" s="611" t="s">
        <v>249</v>
      </c>
      <c r="M285" s="859">
        <f>N273</f>
        <v>1.3267756658758139</v>
      </c>
      <c r="N285" s="859"/>
      <c r="O285" s="859"/>
      <c r="P285" s="611" t="s">
        <v>249</v>
      </c>
      <c r="Q285" s="859">
        <f>N279</f>
        <v>1.1863417856798617</v>
      </c>
      <c r="R285" s="859"/>
      <c r="S285" s="859"/>
      <c r="T285" s="610"/>
      <c r="U285" s="610"/>
      <c r="V285" s="610"/>
      <c r="W285" s="610"/>
      <c r="X285" s="610"/>
      <c r="Y285" s="610"/>
      <c r="Z285" s="610"/>
      <c r="AA285" s="77"/>
      <c r="AB285" s="239"/>
    </row>
    <row r="286" spans="1:28" ht="13.5" customHeight="1">
      <c r="A286" s="6"/>
      <c r="B286" s="610"/>
      <c r="C286" s="610"/>
      <c r="D286" s="610"/>
      <c r="E286" s="611" t="s">
        <v>621</v>
      </c>
      <c r="F286" s="862">
        <f>+P237</f>
        <v>20.88</v>
      </c>
      <c r="G286" s="862"/>
      <c r="H286" s="611" t="s">
        <v>622</v>
      </c>
      <c r="I286" s="859">
        <f>+N269</f>
        <v>7.9169999999999998</v>
      </c>
      <c r="J286" s="859"/>
      <c r="K286" s="859"/>
      <c r="L286" s="611" t="s">
        <v>249</v>
      </c>
      <c r="M286" s="859">
        <f>IF(U135=0,  N274,  N275)</f>
        <v>1.1633878329379068</v>
      </c>
      <c r="N286" s="859"/>
      <c r="O286" s="859"/>
      <c r="P286" s="611" t="s">
        <v>249</v>
      </c>
      <c r="Q286" s="859">
        <f>IF(K189=0,  N280,  N281)</f>
        <v>1</v>
      </c>
      <c r="R286" s="859"/>
      <c r="S286" s="859"/>
      <c r="T286" s="610"/>
      <c r="U286" s="610"/>
      <c r="V286" s="610"/>
      <c r="W286" s="610"/>
      <c r="X286" s="610"/>
      <c r="Y286" s="610"/>
      <c r="Z286" s="610"/>
      <c r="AA286" s="77"/>
      <c r="AB286" s="240"/>
    </row>
    <row r="287" spans="1:28" ht="13.5" customHeight="1">
      <c r="A287" s="6"/>
      <c r="B287" s="610"/>
      <c r="C287" s="610"/>
      <c r="D287" s="610"/>
      <c r="E287" s="611" t="s">
        <v>621</v>
      </c>
      <c r="F287" s="862">
        <v>0.5</v>
      </c>
      <c r="G287" s="862"/>
      <c r="H287" s="611" t="s">
        <v>249</v>
      </c>
      <c r="I287" s="862">
        <f>+S237</f>
        <v>16.432432432432432</v>
      </c>
      <c r="J287" s="862"/>
      <c r="K287" s="611" t="s">
        <v>249</v>
      </c>
      <c r="L287" s="862">
        <f>+B237</f>
        <v>1.85</v>
      </c>
      <c r="M287" s="862"/>
      <c r="N287" s="611" t="s">
        <v>249</v>
      </c>
      <c r="O287" s="859">
        <f>+N270</f>
        <v>4.1508967456657979</v>
      </c>
      <c r="P287" s="859"/>
      <c r="Q287" s="859"/>
      <c r="R287" s="611" t="s">
        <v>249</v>
      </c>
      <c r="S287" s="859">
        <f>IF(U135=0,N274,N275)</f>
        <v>1.1633878329379068</v>
      </c>
      <c r="T287" s="859"/>
      <c r="U287" s="859"/>
      <c r="V287" s="611" t="s">
        <v>249</v>
      </c>
      <c r="W287" s="859">
        <f>IF(U135=0,N280,N281)</f>
        <v>1.0931708928399309</v>
      </c>
      <c r="X287" s="859"/>
      <c r="Y287" s="859"/>
      <c r="Z287" s="610"/>
      <c r="AA287" s="77"/>
      <c r="AB287" s="240"/>
    </row>
    <row r="288" spans="1:28" ht="13.5" customHeight="1">
      <c r="A288" s="6"/>
      <c r="B288" s="610"/>
      <c r="C288" s="610"/>
      <c r="D288" s="610"/>
      <c r="E288" s="611" t="s">
        <v>238</v>
      </c>
      <c r="F288" s="860">
        <f>ROUND(F285*I285*M285*Q285,1)</f>
        <v>0</v>
      </c>
      <c r="G288" s="860"/>
      <c r="H288" s="860"/>
      <c r="I288" s="611" t="s">
        <v>623</v>
      </c>
      <c r="J288" s="860">
        <f>ROUND(F286*I286*M286*Q286,1)</f>
        <v>192.3</v>
      </c>
      <c r="K288" s="860"/>
      <c r="L288" s="860"/>
      <c r="M288" s="611" t="s">
        <v>623</v>
      </c>
      <c r="N288" s="860">
        <f>ROUND(F287*I287*L287*O287*S287*W287,1)</f>
        <v>80.2</v>
      </c>
      <c r="O288" s="860"/>
      <c r="P288" s="860"/>
      <c r="Q288" s="611" t="s">
        <v>601</v>
      </c>
      <c r="R288" s="860">
        <f>ROUND(N288+J288+F288,1)</f>
        <v>272.5</v>
      </c>
      <c r="S288" s="860"/>
      <c r="T288" s="860"/>
      <c r="U288" s="610" t="s">
        <v>624</v>
      </c>
      <c r="V288" s="610"/>
      <c r="W288" s="610"/>
      <c r="X288" s="610"/>
      <c r="Y288" s="610"/>
      <c r="Z288" s="610"/>
      <c r="AA288" s="77"/>
      <c r="AB288" s="240"/>
    </row>
    <row r="289" spans="1:28" ht="13.5" customHeight="1">
      <c r="A289" s="6"/>
      <c r="B289" s="610"/>
      <c r="C289" s="610"/>
      <c r="D289" s="611" t="s">
        <v>625</v>
      </c>
      <c r="E289" s="611" t="s">
        <v>238</v>
      </c>
      <c r="F289" s="860">
        <f>R288</f>
        <v>272.5</v>
      </c>
      <c r="G289" s="860"/>
      <c r="H289" s="860"/>
      <c r="I289" s="611" t="s">
        <v>626</v>
      </c>
      <c r="J289" s="860">
        <v>3</v>
      </c>
      <c r="K289" s="860"/>
      <c r="L289" s="860"/>
      <c r="M289" s="611" t="s">
        <v>601</v>
      </c>
      <c r="N289" s="861">
        <f>ROUND(F289/J289,1)</f>
        <v>90.8</v>
      </c>
      <c r="O289" s="861"/>
      <c r="P289" s="861"/>
      <c r="Q289" s="610" t="s">
        <v>624</v>
      </c>
      <c r="R289" s="610"/>
      <c r="S289" s="610"/>
      <c r="T289" s="610"/>
      <c r="U289" s="610"/>
      <c r="V289" s="610"/>
      <c r="W289" s="610"/>
      <c r="X289" s="610"/>
      <c r="Y289" s="610"/>
      <c r="Z289" s="610"/>
      <c r="AA289" s="77"/>
      <c r="AB289" s="240"/>
    </row>
    <row r="290" spans="1:28" ht="13.5" customHeight="1">
      <c r="A290" s="6"/>
      <c r="B290" s="131"/>
      <c r="C290" s="74"/>
      <c r="D290" s="74"/>
      <c r="E290" s="6"/>
      <c r="F290" s="76"/>
      <c r="G290" s="6"/>
      <c r="H290" s="6"/>
      <c r="I290" s="74"/>
      <c r="J290" s="76"/>
      <c r="K290" s="73"/>
      <c r="L290" s="76"/>
      <c r="M290" s="76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40"/>
    </row>
    <row r="291" spans="1:28" ht="13.5" customHeight="1">
      <c r="A291" s="6"/>
      <c r="C291" s="74"/>
      <c r="D291" s="74"/>
      <c r="E291" s="6"/>
      <c r="F291" s="76"/>
      <c r="G291" s="6"/>
      <c r="H291" s="6"/>
      <c r="I291" s="74"/>
      <c r="J291" s="76"/>
      <c r="K291" s="73"/>
      <c r="L291" s="76"/>
      <c r="M291" s="76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40"/>
    </row>
    <row r="292" spans="1:28" ht="13.5" customHeight="1">
      <c r="A292" s="6"/>
      <c r="B292" s="641" t="s">
        <v>775</v>
      </c>
      <c r="C292" s="74"/>
      <c r="D292" s="74"/>
      <c r="E292" s="6"/>
      <c r="F292" s="76"/>
      <c r="G292" s="6"/>
      <c r="H292" s="6"/>
      <c r="I292" s="74"/>
      <c r="J292" s="76"/>
      <c r="K292" s="73"/>
      <c r="L292" s="76"/>
      <c r="M292" s="76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40"/>
    </row>
    <row r="293" spans="1:28" ht="13.5" customHeight="1">
      <c r="A293" s="6"/>
      <c r="B293" s="131"/>
      <c r="C293" s="74"/>
      <c r="D293" s="74"/>
      <c r="E293" s="6"/>
      <c r="F293" s="76"/>
      <c r="G293" s="6"/>
      <c r="H293" s="6"/>
      <c r="I293" s="74"/>
      <c r="J293" s="76"/>
      <c r="K293" s="73"/>
      <c r="L293" s="76"/>
      <c r="M293" s="76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40"/>
    </row>
    <row r="294" spans="1:28" ht="13.5" customHeight="1">
      <c r="A294" s="6"/>
      <c r="B294" s="131"/>
      <c r="C294" s="611" t="s">
        <v>625</v>
      </c>
      <c r="D294" s="611" t="s">
        <v>601</v>
      </c>
      <c r="E294" s="610" t="s">
        <v>776</v>
      </c>
      <c r="F294" s="610"/>
      <c r="G294" s="610"/>
      <c r="H294" s="610"/>
      <c r="I294" s="610"/>
      <c r="J294" s="610"/>
      <c r="K294" s="610"/>
      <c r="L294" s="610"/>
      <c r="M294" s="610"/>
      <c r="N294" s="610"/>
      <c r="O294" s="610"/>
      <c r="P294" s="610"/>
      <c r="Q294" s="610"/>
      <c r="R294" s="610"/>
      <c r="S294" s="610"/>
      <c r="T294" s="610"/>
      <c r="U294" s="610"/>
      <c r="V294" s="610"/>
      <c r="W294" s="610"/>
      <c r="X294" s="610"/>
      <c r="Y294" s="610"/>
      <c r="Z294" s="642"/>
      <c r="AA294" s="77"/>
      <c r="AB294" s="240"/>
    </row>
    <row r="295" spans="1:28" ht="13.5" customHeight="1">
      <c r="A295" s="6"/>
      <c r="B295" s="131"/>
      <c r="C295" s="611"/>
      <c r="D295" s="611" t="s">
        <v>601</v>
      </c>
      <c r="E295" s="1509">
        <f>K324</f>
        <v>150</v>
      </c>
      <c r="F295" s="1509"/>
      <c r="G295" s="1509"/>
      <c r="H295" s="611" t="s">
        <v>623</v>
      </c>
      <c r="I295" s="1509">
        <f>U328</f>
        <v>44</v>
      </c>
      <c r="J295" s="1509"/>
      <c r="K295" s="1509"/>
      <c r="L295" s="610"/>
      <c r="M295" s="610"/>
      <c r="N295" s="610"/>
      <c r="O295" s="610"/>
      <c r="P295" s="610"/>
      <c r="Q295" s="610"/>
      <c r="R295" s="610"/>
      <c r="S295" s="610"/>
      <c r="T295" s="610"/>
      <c r="U295" s="610"/>
      <c r="V295" s="610"/>
      <c r="W295" s="610"/>
      <c r="X295" s="610"/>
      <c r="Y295" s="610"/>
      <c r="Z295" s="642"/>
      <c r="AA295" s="77"/>
      <c r="AB295" s="240"/>
    </row>
    <row r="296" spans="1:28" ht="13.5" customHeight="1">
      <c r="A296" s="6"/>
      <c r="B296" s="131"/>
      <c r="C296" s="611"/>
      <c r="D296" s="611" t="s">
        <v>601</v>
      </c>
      <c r="E296" s="1509">
        <f>M330</f>
        <v>194</v>
      </c>
      <c r="F296" s="1509"/>
      <c r="G296" s="1509"/>
      <c r="H296" s="610" t="s">
        <v>624</v>
      </c>
      <c r="I296" s="610"/>
      <c r="J296" s="610"/>
      <c r="K296" s="610"/>
      <c r="L296" s="610"/>
      <c r="M296" s="610"/>
      <c r="N296" s="610"/>
      <c r="O296" s="610"/>
      <c r="P296" s="610"/>
      <c r="Q296" s="610"/>
      <c r="R296" s="610"/>
      <c r="S296" s="610"/>
      <c r="T296" s="610"/>
      <c r="U296" s="610"/>
      <c r="V296" s="610"/>
      <c r="W296" s="610"/>
      <c r="X296" s="610"/>
      <c r="Y296" s="610"/>
      <c r="Z296" s="642"/>
      <c r="AA296" s="77"/>
      <c r="AB296" s="240"/>
    </row>
    <row r="297" spans="1:28" ht="13.5" customHeight="1">
      <c r="A297" s="6"/>
      <c r="B297" s="131"/>
      <c r="C297" s="611"/>
      <c r="D297" s="611"/>
      <c r="E297" s="610"/>
      <c r="F297" s="610"/>
      <c r="G297" s="610"/>
      <c r="H297" s="610"/>
      <c r="I297" s="610"/>
      <c r="J297" s="610"/>
      <c r="K297" s="610"/>
      <c r="L297" s="610"/>
      <c r="M297" s="610"/>
      <c r="N297" s="610"/>
      <c r="O297" s="610"/>
      <c r="P297" s="610"/>
      <c r="Q297" s="610"/>
      <c r="R297" s="610"/>
      <c r="S297" s="610"/>
      <c r="T297" s="610"/>
      <c r="U297" s="610"/>
      <c r="V297" s="610"/>
      <c r="W297" s="610"/>
      <c r="X297" s="610"/>
      <c r="Y297" s="610"/>
      <c r="Z297" s="642"/>
      <c r="AA297" s="77"/>
      <c r="AB297" s="240"/>
    </row>
    <row r="298" spans="1:28" ht="13.5" customHeight="1" thickBot="1">
      <c r="A298" s="6"/>
      <c r="B298" s="131"/>
      <c r="C298" s="610" t="s">
        <v>777</v>
      </c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  <c r="P298" s="610"/>
      <c r="Q298" s="610"/>
      <c r="R298" s="610"/>
      <c r="S298" s="610"/>
      <c r="T298" s="610"/>
      <c r="U298" s="610"/>
      <c r="V298" s="610"/>
      <c r="W298" s="610"/>
      <c r="X298" s="610"/>
      <c r="Y298" s="610"/>
      <c r="Z298" s="610"/>
      <c r="AA298" s="77"/>
      <c r="AB298" s="240"/>
    </row>
    <row r="299" spans="1:28" ht="20.25" customHeight="1">
      <c r="A299" s="6"/>
      <c r="B299" s="131"/>
      <c r="C299" s="1018" t="s">
        <v>778</v>
      </c>
      <c r="D299" s="903"/>
      <c r="E299" s="903"/>
      <c r="F299" s="903"/>
      <c r="G299" s="903"/>
      <c r="H299" s="903"/>
      <c r="I299" s="903"/>
      <c r="J299" s="903"/>
      <c r="K299" s="903"/>
      <c r="L299" s="903"/>
      <c r="M299" s="903" t="s">
        <v>779</v>
      </c>
      <c r="N299" s="903"/>
      <c r="O299" s="903"/>
      <c r="P299" s="903"/>
      <c r="Q299" s="900" t="s">
        <v>780</v>
      </c>
      <c r="R299" s="900"/>
      <c r="S299" s="900"/>
      <c r="T299" s="900"/>
      <c r="U299" s="900"/>
      <c r="V299" s="900"/>
      <c r="W299" s="900"/>
      <c r="X299" s="900"/>
      <c r="Y299" s="900"/>
      <c r="Z299" s="904"/>
      <c r="AA299" s="77"/>
      <c r="AB299" s="240"/>
    </row>
    <row r="300" spans="1:28" ht="20.25" customHeight="1" thickBot="1">
      <c r="A300" s="6"/>
      <c r="B300" s="131"/>
      <c r="C300" s="993"/>
      <c r="D300" s="994"/>
      <c r="E300" s="994"/>
      <c r="F300" s="994"/>
      <c r="G300" s="994"/>
      <c r="H300" s="994"/>
      <c r="I300" s="994"/>
      <c r="J300" s="994"/>
      <c r="K300" s="994"/>
      <c r="L300" s="994"/>
      <c r="M300" s="994"/>
      <c r="N300" s="994"/>
      <c r="O300" s="994"/>
      <c r="P300" s="994"/>
      <c r="Q300" s="905" t="s">
        <v>781</v>
      </c>
      <c r="R300" s="1019"/>
      <c r="S300" s="1019"/>
      <c r="T300" s="1019"/>
      <c r="U300" s="1019"/>
      <c r="V300" s="1019"/>
      <c r="W300" s="901"/>
      <c r="X300" s="902" t="s">
        <v>782</v>
      </c>
      <c r="Y300" s="902"/>
      <c r="Z300" s="905"/>
      <c r="AA300" s="77"/>
      <c r="AB300" s="240"/>
    </row>
    <row r="301" spans="1:28" ht="20.25" customHeight="1" thickTop="1">
      <c r="A301" s="6"/>
      <c r="B301" s="131"/>
      <c r="C301" s="1020" t="s">
        <v>783</v>
      </c>
      <c r="D301" s="1020"/>
      <c r="E301" s="1020"/>
      <c r="F301" s="1020"/>
      <c r="G301" s="1020"/>
      <c r="H301" s="1020"/>
      <c r="I301" s="1020"/>
      <c r="J301" s="1020"/>
      <c r="K301" s="1020"/>
      <c r="L301" s="1021"/>
      <c r="M301" s="1026" t="s">
        <v>784</v>
      </c>
      <c r="N301" s="1020"/>
      <c r="O301" s="1020"/>
      <c r="P301" s="1021"/>
      <c r="Q301" s="1029">
        <v>800</v>
      </c>
      <c r="R301" s="1030"/>
      <c r="S301" s="1030"/>
      <c r="T301" s="1031" t="s">
        <v>785</v>
      </c>
      <c r="U301" s="1030">
        <v>1200</v>
      </c>
      <c r="V301" s="1030"/>
      <c r="W301" s="1032"/>
      <c r="X301" s="1029">
        <v>1000</v>
      </c>
      <c r="Y301" s="1030"/>
      <c r="Z301" s="1030"/>
      <c r="AA301" s="77"/>
      <c r="AB301" s="240"/>
    </row>
    <row r="302" spans="1:28" ht="20.25" customHeight="1">
      <c r="A302" s="6"/>
      <c r="B302" s="131"/>
      <c r="C302" s="1022"/>
      <c r="D302" s="1022"/>
      <c r="E302" s="1022"/>
      <c r="F302" s="1022"/>
      <c r="G302" s="1022"/>
      <c r="H302" s="1022"/>
      <c r="I302" s="1022"/>
      <c r="J302" s="1022"/>
      <c r="K302" s="1022"/>
      <c r="L302" s="1023"/>
      <c r="M302" s="1027"/>
      <c r="N302" s="1022"/>
      <c r="O302" s="1022"/>
      <c r="P302" s="1023"/>
      <c r="Q302" s="1006"/>
      <c r="R302" s="1007"/>
      <c r="S302" s="1007"/>
      <c r="T302" s="848"/>
      <c r="U302" s="1007"/>
      <c r="V302" s="1007"/>
      <c r="W302" s="1033"/>
      <c r="X302" s="1006"/>
      <c r="Y302" s="1007"/>
      <c r="Z302" s="1007"/>
      <c r="AA302" s="77"/>
      <c r="AB302" s="240"/>
    </row>
    <row r="303" spans="1:28" ht="20.25" customHeight="1">
      <c r="A303" s="6"/>
      <c r="B303" s="131"/>
      <c r="C303" s="1024"/>
      <c r="D303" s="1024"/>
      <c r="E303" s="1024"/>
      <c r="F303" s="1024"/>
      <c r="G303" s="1024"/>
      <c r="H303" s="1024"/>
      <c r="I303" s="1024"/>
      <c r="J303" s="1024"/>
      <c r="K303" s="1024"/>
      <c r="L303" s="1025"/>
      <c r="M303" s="1028"/>
      <c r="N303" s="1024"/>
      <c r="O303" s="1024"/>
      <c r="P303" s="1025"/>
      <c r="Q303" s="930"/>
      <c r="R303" s="931"/>
      <c r="S303" s="931"/>
      <c r="T303" s="1009"/>
      <c r="U303" s="931"/>
      <c r="V303" s="931"/>
      <c r="W303" s="1034"/>
      <c r="X303" s="930"/>
      <c r="Y303" s="931"/>
      <c r="Z303" s="931"/>
      <c r="AA303" s="77"/>
      <c r="AB303" s="240"/>
    </row>
    <row r="304" spans="1:28" ht="20.25" customHeight="1">
      <c r="A304" s="6"/>
      <c r="B304" s="131"/>
      <c r="C304" s="977" t="s">
        <v>786</v>
      </c>
      <c r="D304" s="999"/>
      <c r="E304" s="999"/>
      <c r="F304" s="999"/>
      <c r="G304" s="999"/>
      <c r="H304" s="999"/>
      <c r="I304" s="999"/>
      <c r="J304" s="999"/>
      <c r="K304" s="999"/>
      <c r="L304" s="1000"/>
      <c r="M304" s="1001" t="s">
        <v>787</v>
      </c>
      <c r="N304" s="1002"/>
      <c r="O304" s="1002"/>
      <c r="P304" s="1002"/>
      <c r="Q304" s="1003">
        <v>600</v>
      </c>
      <c r="R304" s="1004"/>
      <c r="S304" s="1004"/>
      <c r="T304" s="626" t="s">
        <v>785</v>
      </c>
      <c r="U304" s="1004">
        <v>1000</v>
      </c>
      <c r="V304" s="1004"/>
      <c r="W304" s="1004"/>
      <c r="X304" s="1003">
        <v>700</v>
      </c>
      <c r="Y304" s="1004"/>
      <c r="Z304" s="1004"/>
      <c r="AA304" s="77"/>
      <c r="AB304" s="240"/>
    </row>
    <row r="305" spans="1:28" ht="20.25" customHeight="1">
      <c r="A305" s="6"/>
      <c r="B305" s="131"/>
      <c r="C305" s="977"/>
      <c r="D305" s="999"/>
      <c r="E305" s="999"/>
      <c r="F305" s="999"/>
      <c r="G305" s="999"/>
      <c r="H305" s="999"/>
      <c r="I305" s="999"/>
      <c r="J305" s="999"/>
      <c r="K305" s="999"/>
      <c r="L305" s="1000"/>
      <c r="M305" s="1005" t="s">
        <v>788</v>
      </c>
      <c r="N305" s="848"/>
      <c r="O305" s="848"/>
      <c r="P305" s="848"/>
      <c r="Q305" s="1006">
        <v>400</v>
      </c>
      <c r="R305" s="1007"/>
      <c r="S305" s="1007"/>
      <c r="T305" s="611" t="s">
        <v>785</v>
      </c>
      <c r="U305" s="1007">
        <v>700</v>
      </c>
      <c r="V305" s="1007"/>
      <c r="W305" s="1007"/>
      <c r="X305" s="1006">
        <v>500</v>
      </c>
      <c r="Y305" s="1007"/>
      <c r="Z305" s="1007"/>
      <c r="AA305" s="77"/>
      <c r="AB305" s="240"/>
    </row>
    <row r="306" spans="1:28" ht="20.25" customHeight="1">
      <c r="A306" s="6"/>
      <c r="B306" s="131"/>
      <c r="C306" s="977"/>
      <c r="D306" s="999"/>
      <c r="E306" s="999"/>
      <c r="F306" s="999"/>
      <c r="G306" s="999"/>
      <c r="H306" s="999"/>
      <c r="I306" s="999"/>
      <c r="J306" s="999"/>
      <c r="K306" s="999"/>
      <c r="L306" s="1000"/>
      <c r="M306" s="1008" t="s">
        <v>789</v>
      </c>
      <c r="N306" s="1009"/>
      <c r="O306" s="1009"/>
      <c r="P306" s="1009"/>
      <c r="Q306" s="930">
        <v>200</v>
      </c>
      <c r="R306" s="931"/>
      <c r="S306" s="931"/>
      <c r="T306" s="619" t="s">
        <v>785</v>
      </c>
      <c r="U306" s="931">
        <v>600</v>
      </c>
      <c r="V306" s="931"/>
      <c r="W306" s="931"/>
      <c r="X306" s="930">
        <v>300</v>
      </c>
      <c r="Y306" s="931"/>
      <c r="Z306" s="931"/>
      <c r="AA306" s="77"/>
      <c r="AB306" s="240"/>
    </row>
    <row r="307" spans="1:28" ht="20.25" customHeight="1">
      <c r="A307" s="6"/>
      <c r="B307" s="131"/>
      <c r="C307" s="977" t="s">
        <v>790</v>
      </c>
      <c r="D307" s="999"/>
      <c r="E307" s="999"/>
      <c r="F307" s="999"/>
      <c r="G307" s="999"/>
      <c r="H307" s="999"/>
      <c r="I307" s="999"/>
      <c r="J307" s="999"/>
      <c r="K307" s="999"/>
      <c r="L307" s="1000"/>
      <c r="M307" s="1001" t="s">
        <v>787</v>
      </c>
      <c r="N307" s="1002"/>
      <c r="O307" s="1002"/>
      <c r="P307" s="1002"/>
      <c r="Q307" s="1003">
        <v>400</v>
      </c>
      <c r="R307" s="1004"/>
      <c r="S307" s="1004"/>
      <c r="T307" s="626" t="s">
        <v>785</v>
      </c>
      <c r="U307" s="1004">
        <v>600</v>
      </c>
      <c r="V307" s="1004"/>
      <c r="W307" s="1004"/>
      <c r="X307" s="1003">
        <v>400</v>
      </c>
      <c r="Y307" s="1004"/>
      <c r="Z307" s="1004"/>
      <c r="AA307" s="77"/>
      <c r="AB307" s="240"/>
    </row>
    <row r="308" spans="1:28" ht="20.25" customHeight="1">
      <c r="A308" s="6"/>
      <c r="B308" s="131"/>
      <c r="C308" s="977"/>
      <c r="D308" s="999"/>
      <c r="E308" s="999"/>
      <c r="F308" s="999"/>
      <c r="G308" s="999"/>
      <c r="H308" s="999"/>
      <c r="I308" s="999"/>
      <c r="J308" s="999"/>
      <c r="K308" s="999"/>
      <c r="L308" s="1000"/>
      <c r="M308" s="1005" t="s">
        <v>788</v>
      </c>
      <c r="N308" s="848"/>
      <c r="O308" s="848"/>
      <c r="P308" s="848"/>
      <c r="Q308" s="1006">
        <v>200</v>
      </c>
      <c r="R308" s="1007"/>
      <c r="S308" s="1007"/>
      <c r="T308" s="611" t="s">
        <v>785</v>
      </c>
      <c r="U308" s="1007">
        <v>400</v>
      </c>
      <c r="V308" s="1007"/>
      <c r="W308" s="1007"/>
      <c r="X308" s="1006">
        <v>300</v>
      </c>
      <c r="Y308" s="1007"/>
      <c r="Z308" s="1007"/>
      <c r="AA308" s="77"/>
      <c r="AB308" s="240"/>
    </row>
    <row r="309" spans="1:28" ht="20.25" customHeight="1">
      <c r="A309" s="6"/>
      <c r="B309" s="131"/>
      <c r="C309" s="977"/>
      <c r="D309" s="999"/>
      <c r="E309" s="999"/>
      <c r="F309" s="999"/>
      <c r="G309" s="999"/>
      <c r="H309" s="999"/>
      <c r="I309" s="999"/>
      <c r="J309" s="999"/>
      <c r="K309" s="999"/>
      <c r="L309" s="1000"/>
      <c r="M309" s="1008" t="s">
        <v>789</v>
      </c>
      <c r="N309" s="1009"/>
      <c r="O309" s="1009"/>
      <c r="P309" s="1009"/>
      <c r="Q309" s="930">
        <v>100</v>
      </c>
      <c r="R309" s="931"/>
      <c r="S309" s="931"/>
      <c r="T309" s="619" t="s">
        <v>785</v>
      </c>
      <c r="U309" s="931">
        <v>300</v>
      </c>
      <c r="V309" s="931"/>
      <c r="W309" s="931"/>
      <c r="X309" s="930">
        <v>150</v>
      </c>
      <c r="Y309" s="931"/>
      <c r="Z309" s="931"/>
      <c r="AA309" s="77"/>
      <c r="AB309" s="240"/>
    </row>
    <row r="310" spans="1:28" ht="20.25" customHeight="1">
      <c r="A310" s="6"/>
      <c r="B310" s="131"/>
      <c r="C310" s="977" t="s">
        <v>791</v>
      </c>
      <c r="D310" s="999"/>
      <c r="E310" s="999"/>
      <c r="F310" s="999"/>
      <c r="G310" s="999"/>
      <c r="H310" s="999"/>
      <c r="I310" s="999"/>
      <c r="J310" s="999"/>
      <c r="K310" s="999"/>
      <c r="L310" s="1000"/>
      <c r="M310" s="1001" t="s">
        <v>787</v>
      </c>
      <c r="N310" s="1002"/>
      <c r="O310" s="1002"/>
      <c r="P310" s="1002"/>
      <c r="Q310" s="1003">
        <v>300</v>
      </c>
      <c r="R310" s="1004"/>
      <c r="S310" s="1004"/>
      <c r="T310" s="626" t="s">
        <v>785</v>
      </c>
      <c r="U310" s="1004">
        <v>500</v>
      </c>
      <c r="V310" s="1004"/>
      <c r="W310" s="1004"/>
      <c r="X310" s="1003">
        <v>300</v>
      </c>
      <c r="Y310" s="1004"/>
      <c r="Z310" s="1004"/>
      <c r="AA310" s="77"/>
      <c r="AB310" s="240"/>
    </row>
    <row r="311" spans="1:28" ht="20.25" customHeight="1">
      <c r="A311" s="6"/>
      <c r="B311" s="131"/>
      <c r="C311" s="977"/>
      <c r="D311" s="999"/>
      <c r="E311" s="999"/>
      <c r="F311" s="999"/>
      <c r="G311" s="999"/>
      <c r="H311" s="999"/>
      <c r="I311" s="999"/>
      <c r="J311" s="999"/>
      <c r="K311" s="999"/>
      <c r="L311" s="1000"/>
      <c r="M311" s="1005" t="s">
        <v>788</v>
      </c>
      <c r="N311" s="848"/>
      <c r="O311" s="848"/>
      <c r="P311" s="848"/>
      <c r="Q311" s="1006">
        <v>200</v>
      </c>
      <c r="R311" s="1007"/>
      <c r="S311" s="1007"/>
      <c r="T311" s="611" t="s">
        <v>785</v>
      </c>
      <c r="U311" s="1007">
        <v>400</v>
      </c>
      <c r="V311" s="1007"/>
      <c r="W311" s="1007"/>
      <c r="X311" s="1006">
        <v>250</v>
      </c>
      <c r="Y311" s="1007"/>
      <c r="Z311" s="1007"/>
      <c r="AA311" s="77"/>
      <c r="AB311" s="240"/>
    </row>
    <row r="312" spans="1:28" ht="20.25" customHeight="1">
      <c r="A312" s="6"/>
      <c r="B312" s="131"/>
      <c r="C312" s="977"/>
      <c r="D312" s="999"/>
      <c r="E312" s="999"/>
      <c r="F312" s="999"/>
      <c r="G312" s="999"/>
      <c r="H312" s="999"/>
      <c r="I312" s="999"/>
      <c r="J312" s="999"/>
      <c r="K312" s="999"/>
      <c r="L312" s="1000"/>
      <c r="M312" s="1008" t="s">
        <v>789</v>
      </c>
      <c r="N312" s="1009"/>
      <c r="O312" s="1009"/>
      <c r="P312" s="1009"/>
      <c r="Q312" s="930">
        <v>100</v>
      </c>
      <c r="R312" s="931"/>
      <c r="S312" s="931"/>
      <c r="T312" s="619" t="s">
        <v>785</v>
      </c>
      <c r="U312" s="931">
        <v>300</v>
      </c>
      <c r="V312" s="931"/>
      <c r="W312" s="931"/>
      <c r="X312" s="930">
        <v>150</v>
      </c>
      <c r="Y312" s="931"/>
      <c r="Z312" s="931"/>
      <c r="AA312" s="77"/>
      <c r="AB312" s="240"/>
    </row>
    <row r="313" spans="1:28" ht="20.25" customHeight="1">
      <c r="A313" s="6"/>
      <c r="B313" s="131"/>
      <c r="C313" s="977" t="s">
        <v>792</v>
      </c>
      <c r="D313" s="999"/>
      <c r="E313" s="999"/>
      <c r="F313" s="999"/>
      <c r="G313" s="999"/>
      <c r="H313" s="999"/>
      <c r="I313" s="999"/>
      <c r="J313" s="999"/>
      <c r="K313" s="999"/>
      <c r="L313" s="1000"/>
      <c r="M313" s="1001" t="s">
        <v>793</v>
      </c>
      <c r="N313" s="1002"/>
      <c r="O313" s="1002"/>
      <c r="P313" s="1002"/>
      <c r="Q313" s="1003">
        <v>300</v>
      </c>
      <c r="R313" s="1004"/>
      <c r="S313" s="1004"/>
      <c r="T313" s="626" t="s">
        <v>785</v>
      </c>
      <c r="U313" s="1004">
        <v>600</v>
      </c>
      <c r="V313" s="1004"/>
      <c r="W313" s="1004"/>
      <c r="X313" s="1003">
        <v>400</v>
      </c>
      <c r="Y313" s="1004"/>
      <c r="Z313" s="1004"/>
      <c r="AA313" s="77"/>
      <c r="AB313" s="240"/>
    </row>
    <row r="314" spans="1:28" ht="20.25" customHeight="1">
      <c r="A314" s="6"/>
      <c r="B314" s="131"/>
      <c r="C314" s="977"/>
      <c r="D314" s="999"/>
      <c r="E314" s="999"/>
      <c r="F314" s="999"/>
      <c r="G314" s="999"/>
      <c r="H314" s="999"/>
      <c r="I314" s="999"/>
      <c r="J314" s="999"/>
      <c r="K314" s="999"/>
      <c r="L314" s="1000"/>
      <c r="M314" s="1005" t="s">
        <v>794</v>
      </c>
      <c r="N314" s="848"/>
      <c r="O314" s="848"/>
      <c r="P314" s="848"/>
      <c r="Q314" s="1006">
        <v>100</v>
      </c>
      <c r="R314" s="1007"/>
      <c r="S314" s="1007"/>
      <c r="T314" s="611" t="s">
        <v>785</v>
      </c>
      <c r="U314" s="1007">
        <v>300</v>
      </c>
      <c r="V314" s="1007"/>
      <c r="W314" s="1007"/>
      <c r="X314" s="1006">
        <v>200</v>
      </c>
      <c r="Y314" s="1007"/>
      <c r="Z314" s="1007"/>
      <c r="AA314" s="77"/>
      <c r="AB314" s="240"/>
    </row>
    <row r="315" spans="1:28" ht="20.25" customHeight="1">
      <c r="A315" s="6"/>
      <c r="B315" s="131"/>
      <c r="C315" s="977"/>
      <c r="D315" s="999"/>
      <c r="E315" s="999"/>
      <c r="F315" s="999"/>
      <c r="G315" s="999"/>
      <c r="H315" s="999"/>
      <c r="I315" s="999"/>
      <c r="J315" s="999"/>
      <c r="K315" s="999"/>
      <c r="L315" s="1000"/>
      <c r="M315" s="1008" t="s">
        <v>795</v>
      </c>
      <c r="N315" s="1009"/>
      <c r="O315" s="1009"/>
      <c r="P315" s="1009"/>
      <c r="Q315" s="930">
        <v>50</v>
      </c>
      <c r="R315" s="931"/>
      <c r="S315" s="931"/>
      <c r="T315" s="619" t="s">
        <v>785</v>
      </c>
      <c r="U315" s="931">
        <v>100</v>
      </c>
      <c r="V315" s="931"/>
      <c r="W315" s="931"/>
      <c r="X315" s="930">
        <v>50</v>
      </c>
      <c r="Y315" s="931"/>
      <c r="Z315" s="931"/>
      <c r="AA315" s="77"/>
      <c r="AB315" s="240"/>
    </row>
    <row r="316" spans="1:28" ht="20.25" customHeight="1">
      <c r="A316" s="6"/>
      <c r="B316" s="131"/>
      <c r="C316" s="977" t="s">
        <v>796</v>
      </c>
      <c r="D316" s="999"/>
      <c r="E316" s="999"/>
      <c r="F316" s="999"/>
      <c r="G316" s="999"/>
      <c r="H316" s="999"/>
      <c r="I316" s="999"/>
      <c r="J316" s="999"/>
      <c r="K316" s="999"/>
      <c r="L316" s="1000"/>
      <c r="M316" s="1001" t="s">
        <v>797</v>
      </c>
      <c r="N316" s="1002"/>
      <c r="O316" s="1002"/>
      <c r="P316" s="1002"/>
      <c r="Q316" s="1003">
        <v>200</v>
      </c>
      <c r="R316" s="1004"/>
      <c r="S316" s="1004"/>
      <c r="T316" s="626" t="s">
        <v>785</v>
      </c>
      <c r="U316" s="1004">
        <v>400</v>
      </c>
      <c r="V316" s="1004"/>
      <c r="W316" s="1004"/>
      <c r="X316" s="1003">
        <v>300</v>
      </c>
      <c r="Y316" s="1004"/>
      <c r="Z316" s="1004"/>
      <c r="AA316" s="77"/>
      <c r="AB316" s="240"/>
    </row>
    <row r="317" spans="1:28" ht="20.25" customHeight="1">
      <c r="A317" s="6"/>
      <c r="B317" s="131"/>
      <c r="C317" s="1010"/>
      <c r="D317" s="1011"/>
      <c r="E317" s="1011"/>
      <c r="F317" s="1011"/>
      <c r="G317" s="1011"/>
      <c r="H317" s="1011"/>
      <c r="I317" s="1011"/>
      <c r="J317" s="1011"/>
      <c r="K317" s="1011"/>
      <c r="L317" s="1012"/>
      <c r="M317" s="1005" t="s">
        <v>794</v>
      </c>
      <c r="N317" s="848"/>
      <c r="O317" s="848"/>
      <c r="P317" s="848"/>
      <c r="Q317" s="1006">
        <v>100</v>
      </c>
      <c r="R317" s="1007"/>
      <c r="S317" s="1007"/>
      <c r="T317" s="611" t="s">
        <v>785</v>
      </c>
      <c r="U317" s="1007">
        <v>300</v>
      </c>
      <c r="V317" s="1007"/>
      <c r="W317" s="1007"/>
      <c r="X317" s="1006">
        <v>150</v>
      </c>
      <c r="Y317" s="1007"/>
      <c r="Z317" s="1007"/>
      <c r="AA317" s="77"/>
      <c r="AB317" s="240"/>
    </row>
    <row r="318" spans="1:28" ht="20.25" customHeight="1" thickBot="1">
      <c r="A318" s="6"/>
      <c r="B318" s="131"/>
      <c r="C318" s="1013"/>
      <c r="D318" s="1014"/>
      <c r="E318" s="1014"/>
      <c r="F318" s="1014"/>
      <c r="G318" s="1014"/>
      <c r="H318" s="1014"/>
      <c r="I318" s="1014"/>
      <c r="J318" s="1014"/>
      <c r="K318" s="1014"/>
      <c r="L318" s="1015"/>
      <c r="M318" s="1513" t="s">
        <v>798</v>
      </c>
      <c r="N318" s="1514"/>
      <c r="O318" s="1514"/>
      <c r="P318" s="1514"/>
      <c r="Q318" s="1515">
        <v>50</v>
      </c>
      <c r="R318" s="1516"/>
      <c r="S318" s="1516"/>
      <c r="T318" s="712" t="s">
        <v>785</v>
      </c>
      <c r="U318" s="1516">
        <v>100</v>
      </c>
      <c r="V318" s="1516"/>
      <c r="W318" s="1516"/>
      <c r="X318" s="1515">
        <v>50</v>
      </c>
      <c r="Y318" s="1516"/>
      <c r="Z318" s="1516"/>
      <c r="AA318" s="77"/>
      <c r="AB318" s="240"/>
    </row>
    <row r="319" spans="1:28" ht="13.5" customHeight="1">
      <c r="A319" s="6"/>
      <c r="B319" s="131"/>
      <c r="C319" s="1548" t="s">
        <v>799</v>
      </c>
      <c r="D319" s="1548"/>
      <c r="E319" s="1548"/>
      <c r="F319" s="1548"/>
      <c r="G319" s="1548"/>
      <c r="H319" s="1548"/>
      <c r="I319" s="1548"/>
      <c r="J319" s="1548"/>
      <c r="K319" s="1548"/>
      <c r="L319" s="1548"/>
      <c r="M319" s="1548"/>
      <c r="N319" s="1548"/>
      <c r="O319" s="1548"/>
      <c r="P319" s="1548"/>
      <c r="Q319" s="1548"/>
      <c r="R319" s="1548"/>
      <c r="S319" s="1548"/>
      <c r="T319" s="1548"/>
      <c r="U319" s="1548"/>
      <c r="V319" s="1548"/>
      <c r="W319" s="1548"/>
      <c r="X319" s="1548"/>
      <c r="Y319" s="1548"/>
      <c r="Z319" s="1548"/>
      <c r="AA319" s="77"/>
      <c r="AB319" s="240"/>
    </row>
    <row r="320" spans="1:28" ht="13.5" customHeight="1">
      <c r="A320" s="6"/>
      <c r="B320" s="131"/>
      <c r="C320" s="1549"/>
      <c r="D320" s="1549"/>
      <c r="E320" s="1549"/>
      <c r="F320" s="1549"/>
      <c r="G320" s="1549"/>
      <c r="H320" s="1549"/>
      <c r="I320" s="1549"/>
      <c r="J320" s="1549"/>
      <c r="K320" s="1549"/>
      <c r="L320" s="1549"/>
      <c r="M320" s="1549"/>
      <c r="N320" s="1549"/>
      <c r="O320" s="1549"/>
      <c r="P320" s="1549"/>
      <c r="Q320" s="1549"/>
      <c r="R320" s="1549"/>
      <c r="S320" s="1549"/>
      <c r="T320" s="1549"/>
      <c r="U320" s="1549"/>
      <c r="V320" s="1549"/>
      <c r="W320" s="1549"/>
      <c r="X320" s="1549"/>
      <c r="Y320" s="1549"/>
      <c r="Z320" s="1549"/>
      <c r="AA320" s="77"/>
      <c r="AB320" s="240"/>
    </row>
    <row r="321" spans="1:38" ht="13.5" customHeight="1">
      <c r="A321" s="6"/>
      <c r="B321" s="131"/>
      <c r="C321" s="1549"/>
      <c r="D321" s="1549"/>
      <c r="E321" s="1549"/>
      <c r="F321" s="1549"/>
      <c r="G321" s="1549"/>
      <c r="H321" s="1549"/>
      <c r="I321" s="1549"/>
      <c r="J321" s="1549"/>
      <c r="K321" s="1549"/>
      <c r="L321" s="1549"/>
      <c r="M321" s="1549"/>
      <c r="N321" s="1549"/>
      <c r="O321" s="1549"/>
      <c r="P321" s="1549"/>
      <c r="Q321" s="1549"/>
      <c r="R321" s="1549"/>
      <c r="S321" s="1549"/>
      <c r="T321" s="1549"/>
      <c r="U321" s="1549"/>
      <c r="V321" s="1549"/>
      <c r="W321" s="1549"/>
      <c r="X321" s="1549"/>
      <c r="Y321" s="1549"/>
      <c r="Z321" s="1549"/>
      <c r="AA321" s="77"/>
      <c r="AB321" s="240"/>
    </row>
    <row r="322" spans="1:38" ht="13.5" customHeight="1">
      <c r="A322" s="6"/>
      <c r="B322" s="131"/>
      <c r="C322" s="610" t="s">
        <v>800</v>
      </c>
      <c r="D322" s="610" t="s">
        <v>801</v>
      </c>
      <c r="E322" s="713"/>
      <c r="F322" s="713"/>
      <c r="G322" s="713"/>
      <c r="H322" s="713"/>
      <c r="I322" s="713"/>
      <c r="J322" s="611" t="s">
        <v>802</v>
      </c>
      <c r="K322" s="1553" t="str">
        <f>+IF((J237+0.5*F5)&lt;F14,B14,IF((J237+0.5*F5)&lt;F15,B15,IF((J237+0.5*F5)&lt;F16,B16,IF((J237+0.5*F5)&lt;F17,B17,B18))))</f>
        <v>매립층</v>
      </c>
      <c r="L322" s="1553"/>
      <c r="M322" s="1553"/>
      <c r="N322" s="1022" t="str">
        <f>+VLOOKUP(K322,$B$14:$AC$17,28,FALSE)</f>
        <v>SM</v>
      </c>
      <c r="O322" s="1022"/>
      <c r="P322" s="610"/>
      <c r="Q322" s="713"/>
      <c r="R322" s="713"/>
      <c r="S322" s="610"/>
      <c r="T322" s="610"/>
      <c r="U322" s="713"/>
      <c r="V322" s="713"/>
      <c r="W322" s="713"/>
      <c r="X322" s="713"/>
      <c r="Y322" s="713"/>
      <c r="Z322" s="713"/>
      <c r="AA322" s="77"/>
      <c r="AB322" s="240"/>
    </row>
    <row r="323" spans="1:38" ht="13.5" customHeight="1">
      <c r="A323" s="6"/>
      <c r="B323" s="131"/>
      <c r="C323" s="610" t="s">
        <v>800</v>
      </c>
      <c r="D323" s="610" t="s">
        <v>803</v>
      </c>
      <c r="E323" s="713"/>
      <c r="F323" s="713"/>
      <c r="G323" s="713"/>
      <c r="H323" s="713"/>
      <c r="I323" s="713"/>
      <c r="J323" s="611" t="s">
        <v>802</v>
      </c>
      <c r="K323" s="1017">
        <v>5</v>
      </c>
      <c r="L323" s="1017"/>
      <c r="M323" s="1017"/>
      <c r="N323" s="713"/>
      <c r="O323" s="713"/>
      <c r="P323" s="713"/>
      <c r="Q323" s="713"/>
      <c r="R323" s="713"/>
      <c r="S323" s="713"/>
      <c r="T323" s="713"/>
      <c r="U323" s="713"/>
      <c r="V323" s="713"/>
      <c r="W323" s="713"/>
      <c r="X323" s="713"/>
      <c r="Y323" s="713"/>
      <c r="Z323" s="713"/>
      <c r="AA323" s="77"/>
      <c r="AB323" s="240"/>
      <c r="AD323" s="172" t="s">
        <v>827</v>
      </c>
    </row>
    <row r="324" spans="1:38" ht="13.5" customHeight="1">
      <c r="A324" s="6"/>
      <c r="B324" s="131"/>
      <c r="C324" s="610" t="s">
        <v>800</v>
      </c>
      <c r="D324" s="610" t="s">
        <v>804</v>
      </c>
      <c r="E324" s="610"/>
      <c r="F324" s="610"/>
      <c r="G324" s="610"/>
      <c r="H324" s="610"/>
      <c r="I324" s="610"/>
      <c r="J324" s="611" t="s">
        <v>802</v>
      </c>
      <c r="K324" s="1509">
        <f>IF(N322="WR", 1000,  IF(AND(OR(N322="GW",N322="GC"), 30&lt;K323), 1000,  IF(AND(OR(N322="GW", N322="GP", N322="GC"), 30&lt;K323), 700,  IF(AND(OR(N322="GW", N322="GP", N322="GC"), AND(10&lt;K323, K323&lt;=30)), 500,  IF(AND(OR(N322="GW", N322="GP", N322="GC"), K323&lt;=10), 300,  IF(AND(OR(N322="SW", N322="SP"), 30&lt;K323), 400,  IF(AND(OR(N322="SW", N322="SP"), AND(10&lt;K323, K323&lt;=30)), 300,  IF(AND(OR(N322="SW", N322="SP"), K323&lt;=10), 150,  IF(AND(OR(N322="SM", N322="SC"), 30&lt;K323), 300,  IF(AND(OR(N322="SM", N322="SC"), AND(10&lt;K323, K323&lt;=30)), 250,  IF(AND(OR(N322="SM", N322="SC"), K323&lt;=10), 150,  IF(AND(N322="CL", 10&lt;K323), 400,  IF(AND(N322="CL", AND(6&lt;K323, K323&lt;=10)), 200,  IF(AND(N322="CL", K323&lt;=6), 50,  IF(AND(N322="ML", 10&lt;K323), 300,  IF(AND(N322="ML", AND(6&lt;K323, K323&lt;=10)), 150,  IF(AND(N322="ML", K323&lt;=6), 50,  "NG")))))))))))))))))</f>
        <v>150</v>
      </c>
      <c r="L324" s="1509"/>
      <c r="M324" s="1509"/>
      <c r="N324" s="610" t="s">
        <v>624</v>
      </c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77"/>
      <c r="AB324" s="240"/>
    </row>
    <row r="325" spans="1:38" ht="13.5" customHeight="1">
      <c r="A325" s="6"/>
      <c r="B325" s="131"/>
      <c r="C325" s="610" t="s">
        <v>800</v>
      </c>
      <c r="D325" s="610" t="s">
        <v>805</v>
      </c>
      <c r="E325" s="610"/>
      <c r="F325" s="610"/>
      <c r="G325" s="610"/>
      <c r="H325" s="610"/>
      <c r="I325" s="610"/>
      <c r="J325" s="611" t="s">
        <v>802</v>
      </c>
      <c r="K325" s="1550">
        <f>+J237</f>
        <v>1.7599999999999998</v>
      </c>
      <c r="L325" s="1550"/>
      <c r="M325" s="1550"/>
      <c r="N325" s="610" t="s">
        <v>806</v>
      </c>
      <c r="O325" s="610"/>
      <c r="P325" s="610"/>
      <c r="Q325" s="610"/>
      <c r="R325" s="610"/>
      <c r="S325" s="610"/>
      <c r="T325" s="610"/>
      <c r="U325" s="610"/>
      <c r="V325" s="610"/>
      <c r="W325" s="610"/>
      <c r="X325" s="610"/>
      <c r="Y325" s="610"/>
      <c r="Z325" s="610"/>
      <c r="AA325" s="77"/>
      <c r="AB325" s="240"/>
    </row>
    <row r="326" spans="1:38" ht="13.5" customHeight="1">
      <c r="A326" s="6"/>
      <c r="B326" s="131"/>
      <c r="C326" s="610" t="s">
        <v>800</v>
      </c>
      <c r="D326" s="610" t="s">
        <v>807</v>
      </c>
      <c r="E326" s="610"/>
      <c r="F326" s="610"/>
      <c r="G326" s="610"/>
      <c r="H326" s="610"/>
      <c r="I326" s="610"/>
      <c r="J326" s="611" t="s">
        <v>802</v>
      </c>
      <c r="K326" s="1550">
        <f>K325-0</f>
        <v>1.7599999999999998</v>
      </c>
      <c r="L326" s="1550"/>
      <c r="M326" s="1550"/>
      <c r="N326" s="610" t="s">
        <v>806</v>
      </c>
      <c r="O326" s="610"/>
      <c r="P326" s="610"/>
      <c r="Q326" s="610"/>
      <c r="R326" s="610"/>
      <c r="S326" s="610"/>
      <c r="T326" s="610"/>
      <c r="U326" s="610"/>
      <c r="V326" s="610"/>
      <c r="W326" s="610"/>
      <c r="X326" s="610"/>
      <c r="Y326" s="610"/>
      <c r="Z326" s="610"/>
      <c r="AA326" s="77"/>
      <c r="AB326" s="240"/>
    </row>
    <row r="327" spans="1:38" ht="13.5" customHeight="1">
      <c r="A327" s="6"/>
      <c r="B327" s="131"/>
      <c r="C327" s="610" t="s">
        <v>800</v>
      </c>
      <c r="D327" s="610" t="s">
        <v>808</v>
      </c>
      <c r="E327" s="610"/>
      <c r="F327" s="610"/>
      <c r="G327" s="610"/>
      <c r="H327" s="610"/>
      <c r="I327" s="610"/>
      <c r="J327" s="611"/>
      <c r="K327" s="860"/>
      <c r="L327" s="860"/>
      <c r="M327" s="860"/>
      <c r="N327" s="610"/>
      <c r="O327" s="610"/>
      <c r="P327" s="610"/>
      <c r="Q327" s="610"/>
      <c r="R327" s="610"/>
      <c r="S327" s="610"/>
      <c r="T327" s="610"/>
      <c r="U327" s="610"/>
      <c r="V327" s="610"/>
      <c r="W327" s="610"/>
      <c r="X327" s="610"/>
      <c r="Y327" s="610"/>
      <c r="Z327" s="610"/>
      <c r="AA327" s="77"/>
      <c r="AB327" s="240"/>
    </row>
    <row r="328" spans="1:38" ht="13.5" customHeight="1">
      <c r="A328" s="6"/>
      <c r="B328" s="131"/>
      <c r="C328" s="610"/>
      <c r="D328" s="611" t="s">
        <v>238</v>
      </c>
      <c r="E328" s="862">
        <f>K324</f>
        <v>150</v>
      </c>
      <c r="F328" s="862"/>
      <c r="G328" s="862"/>
      <c r="H328" s="647" t="s">
        <v>723</v>
      </c>
      <c r="I328" s="988">
        <f>K325</f>
        <v>1.7599999999999998</v>
      </c>
      <c r="J328" s="848"/>
      <c r="K328" s="636" t="s">
        <v>683</v>
      </c>
      <c r="L328" s="860">
        <v>0</v>
      </c>
      <c r="M328" s="860"/>
      <c r="N328" s="646" t="s">
        <v>809</v>
      </c>
      <c r="O328" s="848">
        <v>0.3</v>
      </c>
      <c r="P328" s="848"/>
      <c r="Q328" s="644" t="s">
        <v>249</v>
      </c>
      <c r="R328" s="848">
        <v>0.05</v>
      </c>
      <c r="S328" s="848"/>
      <c r="T328" s="611" t="s">
        <v>601</v>
      </c>
      <c r="U328" s="860">
        <f>ROUND(E328*(I328-L328)/O328*R328,1)</f>
        <v>44</v>
      </c>
      <c r="V328" s="860"/>
      <c r="W328" s="860"/>
      <c r="X328" s="610" t="s">
        <v>624</v>
      </c>
      <c r="Y328" s="610"/>
      <c r="Z328" s="610"/>
      <c r="AA328" s="77"/>
      <c r="AB328" s="240"/>
    </row>
    <row r="329" spans="1:38" ht="13.5" customHeight="1">
      <c r="A329" s="6"/>
      <c r="B329" s="131"/>
      <c r="C329" s="610" t="s">
        <v>800</v>
      </c>
      <c r="D329" s="610" t="s">
        <v>810</v>
      </c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0"/>
      <c r="P329" s="610"/>
      <c r="Q329" s="610"/>
      <c r="R329" s="610"/>
      <c r="S329" s="610"/>
      <c r="T329" s="610"/>
      <c r="U329" s="610"/>
      <c r="V329" s="610"/>
      <c r="W329" s="610"/>
      <c r="X329" s="610"/>
      <c r="Y329" s="610"/>
      <c r="Z329" s="610"/>
      <c r="AA329" s="77"/>
      <c r="AB329" s="240"/>
    </row>
    <row r="330" spans="1:38" ht="13.5" customHeight="1">
      <c r="A330" s="6"/>
      <c r="B330" s="131"/>
      <c r="C330" s="610"/>
      <c r="D330" s="611" t="s">
        <v>238</v>
      </c>
      <c r="E330" s="862">
        <f>K324</f>
        <v>150</v>
      </c>
      <c r="F330" s="862"/>
      <c r="G330" s="862"/>
      <c r="H330" s="611" t="s">
        <v>621</v>
      </c>
      <c r="I330" s="862">
        <f>U328</f>
        <v>44</v>
      </c>
      <c r="J330" s="862"/>
      <c r="K330" s="862"/>
      <c r="L330" s="611" t="s">
        <v>238</v>
      </c>
      <c r="M330" s="1016">
        <f>ROUND(E330+I330, 1)</f>
        <v>194</v>
      </c>
      <c r="N330" s="1016"/>
      <c r="O330" s="1016"/>
      <c r="P330" s="610" t="s">
        <v>624</v>
      </c>
      <c r="Q330" s="610"/>
      <c r="R330" s="631"/>
      <c r="S330" s="631"/>
      <c r="T330" s="611"/>
      <c r="U330" s="636"/>
      <c r="V330" s="636"/>
      <c r="W330" s="636"/>
      <c r="X330" s="610"/>
      <c r="Y330" s="610"/>
      <c r="Z330" s="610"/>
      <c r="AA330" s="77"/>
      <c r="AB330" s="240"/>
    </row>
    <row r="331" spans="1:38" ht="13.5" customHeight="1">
      <c r="A331" s="6"/>
      <c r="B331" s="131"/>
      <c r="C331" s="74"/>
      <c r="D331" s="74"/>
      <c r="E331" s="6"/>
      <c r="F331" s="76"/>
      <c r="G331" s="6"/>
      <c r="H331" s="6"/>
      <c r="I331" s="74"/>
      <c r="J331" s="76"/>
      <c r="K331" s="73"/>
      <c r="L331" s="76"/>
      <c r="M331" s="76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240"/>
    </row>
    <row r="332" spans="1:38" ht="13.5" customHeight="1">
      <c r="A332" s="6"/>
      <c r="B332" s="131"/>
      <c r="C332" s="74"/>
      <c r="D332" s="74"/>
      <c r="E332" s="6"/>
      <c r="F332" s="76"/>
      <c r="G332" s="6"/>
      <c r="H332" s="6"/>
      <c r="I332" s="74"/>
      <c r="J332" s="76"/>
      <c r="K332" s="73"/>
      <c r="L332" s="76"/>
      <c r="M332" s="76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240"/>
    </row>
    <row r="333" spans="1:38" ht="13.5" customHeight="1">
      <c r="A333" s="6"/>
      <c r="B333" s="649" t="s">
        <v>669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610"/>
      <c r="AC333" s="610"/>
      <c r="AD333" s="610"/>
      <c r="AE333" s="610"/>
      <c r="AF333" s="610"/>
      <c r="AG333" s="610"/>
      <c r="AH333" s="610"/>
      <c r="AI333" s="610"/>
      <c r="AJ333" s="610"/>
      <c r="AK333" s="610"/>
      <c r="AL333" s="610"/>
    </row>
    <row r="334" spans="1:38" ht="13.5" customHeight="1">
      <c r="A334" s="6"/>
      <c r="B334" s="77"/>
      <c r="C334" s="77"/>
      <c r="D334" s="76"/>
      <c r="E334" s="638"/>
      <c r="F334" s="638"/>
      <c r="G334" s="76"/>
      <c r="H334" s="220"/>
      <c r="I334" s="220"/>
      <c r="J334" s="76"/>
      <c r="K334" s="639"/>
      <c r="L334" s="639"/>
      <c r="M334" s="639"/>
      <c r="N334" s="76"/>
      <c r="O334" s="640"/>
      <c r="P334" s="640"/>
      <c r="Q334" s="76"/>
      <c r="R334" s="639"/>
      <c r="S334" s="639"/>
      <c r="T334" s="76"/>
      <c r="U334" s="639"/>
      <c r="V334" s="639"/>
      <c r="W334" s="76"/>
      <c r="X334" s="639"/>
      <c r="Y334" s="639"/>
      <c r="Z334" s="639"/>
      <c r="AA334" s="242"/>
      <c r="AB334" s="610"/>
      <c r="AC334" s="610"/>
      <c r="AD334" s="610"/>
      <c r="AE334" s="610"/>
      <c r="AF334" s="610"/>
      <c r="AG334" s="610"/>
      <c r="AH334" s="610"/>
      <c r="AI334" s="610"/>
      <c r="AJ334" s="610"/>
      <c r="AK334" s="610"/>
      <c r="AL334" s="610"/>
    </row>
    <row r="335" spans="1:38" ht="13.5" customHeight="1">
      <c r="A335" s="6"/>
      <c r="B335" s="641" t="s">
        <v>670</v>
      </c>
      <c r="C335" s="609"/>
      <c r="D335" s="610"/>
      <c r="E335" s="610"/>
      <c r="F335" s="610"/>
      <c r="G335" s="610"/>
      <c r="H335" s="610"/>
      <c r="I335" s="610"/>
      <c r="J335" s="610"/>
      <c r="K335" s="610"/>
      <c r="L335" s="610"/>
      <c r="M335" s="610"/>
      <c r="N335" s="610"/>
      <c r="O335" s="610"/>
      <c r="P335" s="610"/>
      <c r="Q335" s="610"/>
      <c r="R335" s="610"/>
      <c r="S335" s="610"/>
      <c r="T335" s="610"/>
      <c r="U335" s="610"/>
      <c r="V335" s="610"/>
      <c r="W335" s="610"/>
      <c r="X335" s="610"/>
      <c r="Y335" s="610"/>
      <c r="Z335" s="642"/>
      <c r="AA335" s="610"/>
      <c r="AB335" s="651"/>
      <c r="AC335" s="651"/>
      <c r="AD335" s="651"/>
      <c r="AE335" s="651"/>
      <c r="AF335" s="651"/>
      <c r="AG335" s="651"/>
      <c r="AH335" s="651"/>
      <c r="AI335" s="651"/>
      <c r="AJ335" s="651"/>
      <c r="AK335" s="651"/>
      <c r="AL335" s="651"/>
    </row>
    <row r="336" spans="1:38" ht="13.5" customHeight="1">
      <c r="A336" s="6"/>
      <c r="B336" s="650"/>
      <c r="C336" s="609" t="s">
        <v>671</v>
      </c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42"/>
      <c r="AA336" s="610"/>
      <c r="AB336" s="610"/>
      <c r="AC336" s="610"/>
      <c r="AD336" s="610"/>
      <c r="AE336" s="610"/>
      <c r="AF336" s="610"/>
      <c r="AG336" s="610"/>
      <c r="AH336" s="610"/>
      <c r="AI336" s="610"/>
      <c r="AJ336" s="610"/>
      <c r="AK336" s="610"/>
      <c r="AL336" s="610"/>
    </row>
    <row r="337" spans="1:38" ht="7.5" customHeight="1">
      <c r="A337" s="6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1"/>
      <c r="AB337" s="610"/>
      <c r="AC337" s="610"/>
      <c r="AD337" s="610"/>
      <c r="AE337" s="610"/>
      <c r="AF337" s="610"/>
      <c r="AG337" s="610"/>
      <c r="AH337" s="610"/>
      <c r="AI337" s="610"/>
      <c r="AJ337" s="610"/>
      <c r="AK337" s="610"/>
      <c r="AL337" s="610"/>
    </row>
    <row r="338" spans="1:38" ht="13.5" customHeight="1">
      <c r="A338" s="6"/>
      <c r="B338" s="610"/>
      <c r="C338" s="848" t="s">
        <v>672</v>
      </c>
      <c r="D338" s="848"/>
      <c r="E338" s="611" t="s">
        <v>601</v>
      </c>
      <c r="F338" s="610" t="s">
        <v>673</v>
      </c>
      <c r="G338" s="610"/>
      <c r="H338" s="610"/>
      <c r="I338" s="610"/>
      <c r="J338" s="610"/>
      <c r="K338" s="610"/>
      <c r="L338" s="610"/>
      <c r="M338" s="610"/>
      <c r="N338" s="610"/>
      <c r="O338" s="610"/>
      <c r="P338" s="610"/>
      <c r="Q338" s="610"/>
      <c r="R338" s="610"/>
      <c r="S338" s="610"/>
      <c r="T338" s="610"/>
      <c r="U338" s="610"/>
      <c r="V338" s="610"/>
      <c r="W338" s="610"/>
      <c r="X338" s="610"/>
      <c r="Y338" s="610"/>
      <c r="Z338" s="610"/>
      <c r="AA338" s="610"/>
      <c r="AB338" s="610"/>
      <c r="AC338" s="610"/>
      <c r="AD338" s="610"/>
      <c r="AE338" s="610"/>
      <c r="AF338" s="610"/>
      <c r="AG338" s="610"/>
      <c r="AH338" s="610"/>
      <c r="AI338" s="610"/>
      <c r="AJ338" s="610"/>
      <c r="AK338" s="610"/>
      <c r="AL338" s="610"/>
    </row>
    <row r="339" spans="1:38" ht="13.5" customHeight="1">
      <c r="A339" s="6"/>
      <c r="B339" s="610"/>
      <c r="C339" s="610" t="s">
        <v>674</v>
      </c>
      <c r="D339" s="610"/>
      <c r="E339" s="610" t="s">
        <v>675</v>
      </c>
      <c r="F339" s="610"/>
      <c r="G339" s="610"/>
      <c r="H339" s="610"/>
      <c r="I339" s="610"/>
      <c r="J339" s="610"/>
      <c r="K339" s="610"/>
      <c r="L339" s="610"/>
      <c r="M339" s="610"/>
      <c r="N339" s="610"/>
      <c r="O339" s="610" t="s">
        <v>694</v>
      </c>
      <c r="P339" s="610"/>
      <c r="Q339" s="610"/>
      <c r="R339" s="610"/>
      <c r="S339" s="610"/>
      <c r="T339" s="610"/>
      <c r="U339" s="848">
        <v>150</v>
      </c>
      <c r="V339" s="848"/>
      <c r="W339" s="662" t="s">
        <v>696</v>
      </c>
      <c r="X339" s="610"/>
      <c r="Y339" s="610"/>
      <c r="Z339" s="610"/>
      <c r="AA339" s="610"/>
      <c r="AB339" s="610"/>
      <c r="AC339" s="610"/>
      <c r="AD339" s="610"/>
      <c r="AE339" s="610"/>
      <c r="AF339" s="610"/>
      <c r="AG339" s="610"/>
      <c r="AH339" s="610"/>
      <c r="AI339" s="610"/>
      <c r="AJ339" s="610"/>
      <c r="AK339" s="610"/>
      <c r="AL339" s="610"/>
    </row>
    <row r="340" spans="1:38" ht="13.5" customHeight="1">
      <c r="A340" s="6"/>
      <c r="B340" s="610"/>
      <c r="C340" s="610"/>
      <c r="D340" s="610"/>
      <c r="E340" s="610" t="s">
        <v>676</v>
      </c>
      <c r="F340" s="610"/>
      <c r="G340" s="610"/>
      <c r="H340" s="610"/>
      <c r="I340" s="610"/>
      <c r="J340" s="610"/>
      <c r="K340" s="610"/>
      <c r="L340" s="610"/>
      <c r="M340" s="610"/>
      <c r="N340" s="610"/>
      <c r="O340" s="610" t="s">
        <v>695</v>
      </c>
      <c r="P340" s="610"/>
      <c r="Q340" s="610"/>
      <c r="R340" s="610"/>
      <c r="S340" s="610"/>
      <c r="T340" s="610"/>
      <c r="U340" s="848">
        <v>75</v>
      </c>
      <c r="V340" s="848"/>
      <c r="W340" s="662" t="s">
        <v>696</v>
      </c>
      <c r="X340" s="610"/>
      <c r="Y340" s="610"/>
      <c r="Z340" s="610"/>
      <c r="AA340" s="610"/>
      <c r="AB340" s="610"/>
      <c r="AC340" s="610"/>
      <c r="AD340" s="610"/>
      <c r="AE340" s="610"/>
      <c r="AF340" s="610"/>
      <c r="AG340" s="610"/>
      <c r="AH340" s="610"/>
      <c r="AI340" s="610"/>
      <c r="AJ340" s="610"/>
      <c r="AK340" s="610"/>
      <c r="AL340" s="610"/>
    </row>
    <row r="341" spans="1:38" ht="13.5" customHeight="1">
      <c r="A341" s="6"/>
      <c r="B341" s="610"/>
      <c r="C341" s="610"/>
      <c r="D341" s="610"/>
      <c r="E341" s="652" t="s">
        <v>677</v>
      </c>
      <c r="F341" s="610"/>
      <c r="G341" s="610"/>
      <c r="H341" s="610"/>
      <c r="I341" s="610"/>
      <c r="J341" s="610"/>
      <c r="K341" s="610"/>
      <c r="L341" s="610"/>
      <c r="M341" s="610"/>
      <c r="N341" s="610"/>
      <c r="O341" s="610"/>
      <c r="P341" s="610"/>
      <c r="Q341" s="610"/>
      <c r="R341" s="610"/>
      <c r="S341" s="610"/>
      <c r="T341" s="610"/>
      <c r="U341" s="610"/>
      <c r="V341" s="610"/>
      <c r="W341" s="610"/>
      <c r="X341" s="610"/>
      <c r="Y341" s="610"/>
      <c r="Z341" s="610"/>
      <c r="AA341" s="610"/>
      <c r="AB341" s="610"/>
      <c r="AC341" s="610"/>
      <c r="AD341" s="610"/>
      <c r="AE341" s="610"/>
      <c r="AF341" s="610"/>
      <c r="AG341" s="610"/>
      <c r="AH341" s="610"/>
      <c r="AI341" s="610"/>
      <c r="AJ341" s="610"/>
      <c r="AK341" s="610"/>
      <c r="AL341" s="610"/>
    </row>
    <row r="342" spans="1:38" ht="13.5" customHeight="1">
      <c r="A342" s="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0"/>
      <c r="P342" s="610"/>
      <c r="Q342" s="610"/>
      <c r="R342" s="610"/>
      <c r="S342" s="610"/>
      <c r="T342" s="610"/>
      <c r="U342" s="610"/>
      <c r="V342" s="610"/>
      <c r="W342" s="610"/>
      <c r="X342" s="610"/>
      <c r="Y342" s="610"/>
      <c r="Z342" s="610"/>
      <c r="AA342" s="610"/>
      <c r="AB342" s="610"/>
      <c r="AC342" s="610"/>
      <c r="AD342" s="610"/>
      <c r="AE342" s="610"/>
      <c r="AF342" s="610"/>
      <c r="AG342" s="610"/>
      <c r="AH342" s="610"/>
      <c r="AI342" s="610"/>
      <c r="AJ342" s="610"/>
      <c r="AK342" s="610"/>
      <c r="AL342" s="610"/>
    </row>
    <row r="343" spans="1:38" ht="13.5" customHeight="1">
      <c r="A343" s="6"/>
      <c r="B343" s="610"/>
      <c r="C343" s="652"/>
      <c r="D343" s="610"/>
      <c r="E343" s="610"/>
      <c r="F343" s="610"/>
      <c r="G343" s="610"/>
      <c r="H343" s="610"/>
      <c r="I343" s="610"/>
      <c r="J343" s="610"/>
      <c r="K343" s="610"/>
      <c r="L343" s="611"/>
      <c r="M343" s="653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10"/>
      <c r="AB343" s="610"/>
      <c r="AC343" s="610"/>
      <c r="AD343" s="610"/>
      <c r="AE343" s="610"/>
      <c r="AF343" s="610"/>
      <c r="AG343" s="610"/>
      <c r="AH343" s="610"/>
      <c r="AI343" s="610"/>
      <c r="AJ343" s="610"/>
      <c r="AK343" s="610"/>
      <c r="AL343" s="610"/>
    </row>
    <row r="344" spans="1:38" ht="14.25" customHeight="1">
      <c r="A344" s="6"/>
      <c r="B344" s="610"/>
      <c r="C344" s="610"/>
      <c r="D344" s="611"/>
      <c r="E344" s="611"/>
      <c r="F344" s="636"/>
      <c r="G344" s="636"/>
      <c r="H344" s="636"/>
      <c r="I344" s="611"/>
      <c r="J344" s="636"/>
      <c r="K344" s="636"/>
      <c r="L344" s="636"/>
      <c r="M344" s="611"/>
      <c r="N344" s="636"/>
      <c r="O344" s="636"/>
      <c r="P344" s="636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10"/>
      <c r="AB344" s="610"/>
      <c r="AC344" s="610"/>
      <c r="AD344" s="610"/>
      <c r="AE344" s="610"/>
      <c r="AF344" s="610"/>
      <c r="AG344" s="610"/>
      <c r="AH344" s="610"/>
      <c r="AI344" s="610"/>
      <c r="AJ344" s="610"/>
      <c r="AK344" s="610"/>
      <c r="AL344" s="610"/>
    </row>
    <row r="345" spans="1:38" ht="14.25" customHeight="1">
      <c r="A345" s="6"/>
      <c r="B345" s="610"/>
      <c r="C345" s="610"/>
      <c r="D345" s="610"/>
      <c r="E345" s="654" t="s">
        <v>678</v>
      </c>
      <c r="F345" s="610" t="s">
        <v>601</v>
      </c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10"/>
      <c r="AB345" s="610"/>
      <c r="AC345" s="610"/>
      <c r="AD345" s="610"/>
      <c r="AE345" s="610"/>
      <c r="AF345" s="610"/>
      <c r="AG345" s="610"/>
      <c r="AH345" s="610"/>
      <c r="AI345" s="610"/>
      <c r="AJ345" s="610"/>
      <c r="AK345" s="610"/>
      <c r="AL345" s="610"/>
    </row>
    <row r="346" spans="1:38" ht="14.25" customHeight="1">
      <c r="A346" s="6"/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  <c r="S346" s="610"/>
      <c r="T346" s="610"/>
      <c r="U346" s="610"/>
      <c r="V346" s="610"/>
      <c r="W346" s="610"/>
      <c r="X346" s="610"/>
      <c r="Y346" s="610"/>
      <c r="Z346" s="610"/>
      <c r="AA346" s="610"/>
      <c r="AB346" s="610"/>
      <c r="AC346" s="610"/>
      <c r="AD346" s="610"/>
      <c r="AE346" s="610"/>
      <c r="AF346" s="610"/>
      <c r="AG346" s="610"/>
      <c r="AH346" s="610"/>
      <c r="AI346" s="610"/>
      <c r="AJ346" s="610"/>
      <c r="AK346" s="610"/>
      <c r="AL346" s="610"/>
    </row>
    <row r="347" spans="1:38" ht="14.25" customHeight="1">
      <c r="A347" s="6"/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  <c r="S347" s="610"/>
      <c r="T347" s="610"/>
      <c r="U347" s="610"/>
      <c r="V347" s="610"/>
      <c r="W347" s="610"/>
      <c r="X347" s="610"/>
      <c r="Y347" s="610"/>
      <c r="Z347" s="610"/>
      <c r="AA347" s="610"/>
      <c r="AB347" s="610"/>
      <c r="AC347" s="610"/>
      <c r="AD347" s="610"/>
      <c r="AE347" s="610"/>
      <c r="AF347" s="610"/>
      <c r="AG347" s="610"/>
      <c r="AH347" s="610" t="s">
        <v>601</v>
      </c>
      <c r="AI347" s="849">
        <f>+F5/(2*COS(RADIANS(45+Q92/2)))</f>
        <v>2.4171414850212964</v>
      </c>
      <c r="AJ347" s="849"/>
      <c r="AK347" s="673"/>
      <c r="AL347" s="610"/>
    </row>
    <row r="348" spans="1:38" ht="14.25" customHeight="1">
      <c r="A348" s="6"/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610"/>
      <c r="AB348" s="610"/>
      <c r="AC348" s="610"/>
      <c r="AD348" s="610"/>
      <c r="AE348" s="610"/>
      <c r="AF348" s="610"/>
      <c r="AG348" s="610"/>
      <c r="AH348" s="610"/>
      <c r="AI348" s="610"/>
      <c r="AJ348" s="610"/>
      <c r="AK348" s="610"/>
      <c r="AL348" s="610"/>
    </row>
    <row r="349" spans="1:38" ht="14.25" customHeight="1">
      <c r="A349" s="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1"/>
      <c r="M349" s="653"/>
      <c r="N349" s="610"/>
      <c r="O349" s="610"/>
      <c r="P349" s="610"/>
      <c r="Q349" s="610"/>
      <c r="R349" s="610"/>
      <c r="S349" s="610"/>
      <c r="T349" s="610"/>
      <c r="U349" s="610"/>
      <c r="V349" s="610"/>
      <c r="W349" s="610"/>
      <c r="X349" s="610"/>
      <c r="Y349" s="610"/>
      <c r="Z349" s="610"/>
      <c r="AA349" s="610"/>
      <c r="AB349" s="610"/>
      <c r="AC349" s="610"/>
      <c r="AD349" s="610"/>
      <c r="AE349" s="610"/>
      <c r="AF349" s="610"/>
      <c r="AG349" s="610"/>
      <c r="AH349" s="610"/>
      <c r="AI349" s="610"/>
      <c r="AJ349" s="610"/>
      <c r="AK349" s="610"/>
      <c r="AL349" s="610"/>
    </row>
    <row r="350" spans="1:38" ht="14.25" customHeight="1">
      <c r="A350" s="6"/>
      <c r="B350" s="610"/>
      <c r="C350" s="610"/>
      <c r="D350" s="611"/>
      <c r="E350" s="611"/>
      <c r="F350" s="636"/>
      <c r="G350" s="636"/>
      <c r="H350" s="636"/>
      <c r="I350" s="611"/>
      <c r="J350" s="636"/>
      <c r="K350" s="636"/>
      <c r="L350" s="636"/>
      <c r="M350" s="611"/>
      <c r="N350" s="636"/>
      <c r="O350" s="636"/>
      <c r="P350" s="636"/>
      <c r="Q350" s="610"/>
      <c r="R350" s="610"/>
      <c r="S350" s="610"/>
      <c r="T350" s="610"/>
      <c r="U350" s="610"/>
      <c r="V350" s="610"/>
      <c r="W350" s="610"/>
      <c r="X350" s="610"/>
      <c r="Y350" s="610"/>
      <c r="Z350" s="610"/>
      <c r="AA350" s="610"/>
      <c r="AB350" s="610"/>
      <c r="AC350" s="610"/>
      <c r="AD350" s="610"/>
      <c r="AE350" s="610"/>
      <c r="AF350" s="610"/>
      <c r="AG350" s="610"/>
      <c r="AH350" s="610" t="s">
        <v>601</v>
      </c>
      <c r="AI350" s="848">
        <f xml:space="preserve"> EXP((PI()/4 + RADIANS(Q92/2))*TAN(RADIANS(Q92))) * COS(RADIANS(Q92))</f>
        <v>2.2968156297576172</v>
      </c>
      <c r="AJ350" s="848"/>
      <c r="AK350" s="610"/>
      <c r="AL350" s="610"/>
    </row>
    <row r="351" spans="1:38" ht="14.25" customHeight="1">
      <c r="A351" s="6"/>
      <c r="B351" s="610"/>
      <c r="C351" s="610"/>
      <c r="D351" s="611"/>
      <c r="E351" s="611"/>
      <c r="F351" s="636"/>
      <c r="G351" s="636"/>
      <c r="H351" s="636"/>
      <c r="I351" s="611"/>
      <c r="J351" s="636"/>
      <c r="K351" s="636"/>
      <c r="L351" s="636"/>
      <c r="M351" s="611"/>
      <c r="N351" s="636"/>
      <c r="O351" s="636"/>
      <c r="P351" s="636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10"/>
      <c r="AB351" s="610"/>
      <c r="AC351" s="610"/>
      <c r="AD351" s="610"/>
      <c r="AE351" s="610"/>
      <c r="AF351" s="610"/>
      <c r="AG351" s="610"/>
      <c r="AH351" s="610"/>
      <c r="AI351" s="610"/>
      <c r="AJ351" s="610"/>
      <c r="AK351" s="610"/>
      <c r="AL351" s="610"/>
    </row>
    <row r="352" spans="1:38" ht="14.25" customHeight="1">
      <c r="A352" s="6"/>
      <c r="B352" s="610"/>
      <c r="C352" s="610"/>
      <c r="D352" s="610"/>
      <c r="E352" s="610"/>
      <c r="F352" s="610"/>
      <c r="G352" s="636"/>
      <c r="H352" s="636"/>
      <c r="I352" s="611" t="s">
        <v>601</v>
      </c>
      <c r="J352" s="860">
        <f>F5/2</f>
        <v>0.92500000000000004</v>
      </c>
      <c r="K352" s="860"/>
      <c r="L352" s="636" t="s">
        <v>622</v>
      </c>
      <c r="M352" s="646" t="s">
        <v>679</v>
      </c>
      <c r="N352" s="636"/>
      <c r="O352" s="636"/>
      <c r="P352" s="998">
        <f>Q92</f>
        <v>45</v>
      </c>
      <c r="Q352" s="998"/>
      <c r="R352" s="998"/>
      <c r="S352" s="610" t="s">
        <v>601</v>
      </c>
      <c r="T352" s="849">
        <f>J352*TAN(RADIANS((45-Q92/2)))</f>
        <v>0.3831475451951129</v>
      </c>
      <c r="U352" s="849"/>
      <c r="V352" s="849"/>
      <c r="W352" s="610"/>
      <c r="X352" s="610"/>
      <c r="Y352" s="610"/>
      <c r="Z352" s="610"/>
      <c r="AA352" s="610"/>
      <c r="AB352" s="610"/>
      <c r="AC352" s="610"/>
      <c r="AD352" s="610"/>
      <c r="AE352" s="610"/>
      <c r="AF352" s="610"/>
      <c r="AG352" s="610"/>
      <c r="AH352" s="610"/>
      <c r="AI352" s="610"/>
      <c r="AJ352" s="610"/>
      <c r="AK352" s="610"/>
      <c r="AL352" s="610"/>
    </row>
    <row r="353" spans="1:38" ht="14.25" customHeight="1">
      <c r="A353" s="6"/>
      <c r="B353" s="610"/>
      <c r="C353" s="610"/>
      <c r="D353" s="611"/>
      <c r="E353" s="611"/>
      <c r="F353" s="636"/>
      <c r="G353" s="636"/>
      <c r="H353" s="636"/>
      <c r="I353" s="611"/>
      <c r="J353" s="636"/>
      <c r="K353" s="636"/>
      <c r="L353" s="636"/>
      <c r="M353" s="611"/>
      <c r="N353" s="636"/>
      <c r="O353" s="636"/>
      <c r="P353" s="636"/>
      <c r="Q353" s="610"/>
      <c r="R353" s="610"/>
      <c r="S353" s="610"/>
      <c r="T353" s="610"/>
      <c r="U353" s="610"/>
      <c r="V353" s="610"/>
      <c r="W353" s="610"/>
      <c r="X353" s="610"/>
      <c r="Y353" s="610"/>
      <c r="Z353" s="610"/>
      <c r="AA353" s="610"/>
      <c r="AB353" s="610"/>
      <c r="AC353" s="610"/>
      <c r="AD353" s="610"/>
      <c r="AE353" s="610"/>
      <c r="AF353" s="610"/>
      <c r="AG353" s="610"/>
      <c r="AH353" s="610"/>
      <c r="AI353" s="610"/>
      <c r="AJ353" s="610"/>
      <c r="AK353" s="610"/>
      <c r="AL353" s="610"/>
    </row>
    <row r="354" spans="1:38" ht="14.25" customHeight="1">
      <c r="A354" s="6"/>
      <c r="B354" s="610"/>
      <c r="C354" s="610"/>
      <c r="D354" s="611"/>
      <c r="E354" s="611" t="s">
        <v>680</v>
      </c>
      <c r="F354" s="636" t="s">
        <v>601</v>
      </c>
      <c r="G354" s="636"/>
      <c r="H354" s="636"/>
      <c r="I354" s="611"/>
      <c r="J354" s="636"/>
      <c r="K354" s="636"/>
      <c r="L354" s="636"/>
      <c r="M354" s="611"/>
      <c r="N354" s="636"/>
      <c r="O354" s="636"/>
      <c r="P354" s="636"/>
      <c r="Q354" s="610" t="s">
        <v>601</v>
      </c>
      <c r="R354" s="849">
        <f>AI347*AI350</f>
        <v>5.551728342132451</v>
      </c>
      <c r="S354" s="849"/>
      <c r="T354" s="849"/>
      <c r="U354" s="610"/>
      <c r="V354" s="610"/>
      <c r="W354" s="610"/>
      <c r="X354" s="610"/>
      <c r="Y354" s="610"/>
      <c r="Z354" s="610"/>
      <c r="AA354" s="610"/>
      <c r="AB354" s="610"/>
      <c r="AC354" s="610"/>
      <c r="AD354" s="610"/>
      <c r="AE354" s="610"/>
      <c r="AF354" s="610"/>
      <c r="AG354" s="610"/>
      <c r="AH354" s="610"/>
      <c r="AI354" s="610"/>
      <c r="AJ354" s="610"/>
      <c r="AK354" s="610"/>
      <c r="AL354" s="610"/>
    </row>
    <row r="355" spans="1:38" ht="14.25" customHeight="1">
      <c r="A355" s="6"/>
      <c r="B355" s="610"/>
      <c r="C355" s="610"/>
      <c r="D355" s="610"/>
      <c r="E355" s="610"/>
      <c r="F355" s="610"/>
      <c r="G355" s="610"/>
      <c r="H355" s="610"/>
      <c r="I355" s="610"/>
      <c r="J355" s="610"/>
      <c r="K355" s="610"/>
      <c r="L355" s="610"/>
      <c r="M355" s="610"/>
      <c r="N355" s="610"/>
      <c r="O355" s="610"/>
      <c r="P355" s="610"/>
      <c r="Q355" s="610"/>
      <c r="R355" s="610"/>
      <c r="S355" s="610"/>
      <c r="T355" s="610"/>
      <c r="U355" s="610"/>
      <c r="V355" s="610"/>
      <c r="W355" s="610"/>
      <c r="X355" s="610"/>
      <c r="Y355" s="610"/>
      <c r="Z355" s="610"/>
      <c r="AA355" s="610"/>
      <c r="AB355" s="610"/>
      <c r="AC355" s="610"/>
      <c r="AD355" s="610"/>
      <c r="AE355" s="610"/>
      <c r="AF355" s="610"/>
      <c r="AG355" s="610"/>
      <c r="AH355" s="610"/>
      <c r="AI355" s="610"/>
      <c r="AJ355" s="610"/>
      <c r="AK355" s="610"/>
      <c r="AL355" s="610"/>
    </row>
    <row r="356" spans="1:38" ht="14.25" customHeight="1">
      <c r="A356" s="6"/>
      <c r="B356" s="610"/>
      <c r="C356" s="610"/>
      <c r="D356" s="611"/>
      <c r="E356" s="631"/>
      <c r="F356" s="631"/>
      <c r="G356" s="631"/>
      <c r="H356" s="611"/>
      <c r="I356" s="631"/>
      <c r="J356" s="631"/>
      <c r="K356" s="631"/>
      <c r="L356" s="611"/>
      <c r="M356" s="631"/>
      <c r="N356" s="631"/>
      <c r="O356" s="631"/>
      <c r="P356" s="610"/>
      <c r="Q356" s="610"/>
      <c r="R356" s="631"/>
      <c r="S356" s="631"/>
      <c r="T356" s="611"/>
      <c r="U356" s="636"/>
      <c r="V356" s="636"/>
      <c r="W356" s="636"/>
      <c r="X356" s="610"/>
      <c r="Y356" s="610"/>
      <c r="Z356" s="610"/>
      <c r="AA356" s="610"/>
      <c r="AB356" s="610"/>
      <c r="AC356" s="610"/>
      <c r="AD356" s="610"/>
      <c r="AE356" s="610"/>
      <c r="AF356" s="610"/>
      <c r="AG356" s="610"/>
      <c r="AH356" s="610"/>
      <c r="AI356" s="610"/>
      <c r="AJ356" s="610"/>
      <c r="AK356" s="610"/>
      <c r="AL356" s="610"/>
    </row>
    <row r="357" spans="1:38" ht="14.25" customHeight="1">
      <c r="A357" s="6"/>
      <c r="B357" s="610"/>
      <c r="C357" s="610"/>
      <c r="D357" s="611" t="s">
        <v>681</v>
      </c>
      <c r="E357" s="631" t="s">
        <v>601</v>
      </c>
      <c r="F357" s="741">
        <f>IF($X$92=1,1,IF($X$92=2,1,IF($X$92=3,1,0)))</f>
        <v>1</v>
      </c>
      <c r="G357" s="631" t="s">
        <v>682</v>
      </c>
      <c r="H357" s="611"/>
      <c r="I357" s="631"/>
      <c r="J357" s="631"/>
      <c r="K357" s="631" t="s">
        <v>601</v>
      </c>
      <c r="L357" s="988">
        <v>0.5</v>
      </c>
      <c r="M357" s="988"/>
      <c r="N357" s="631" t="s">
        <v>623</v>
      </c>
      <c r="O357" s="657">
        <f>F357</f>
        <v>1</v>
      </c>
      <c r="P357" s="631" t="s">
        <v>683</v>
      </c>
      <c r="Q357" s="610" t="s">
        <v>684</v>
      </c>
      <c r="R357" s="636" t="s">
        <v>622</v>
      </c>
      <c r="S357" s="848">
        <f>[1]검토현황!$D$33</f>
        <v>0.5</v>
      </c>
      <c r="T357" s="848"/>
      <c r="U357" s="610" t="s">
        <v>601</v>
      </c>
      <c r="V357" s="860">
        <f>L357+(F357-1)*S357</f>
        <v>0.5</v>
      </c>
      <c r="W357" s="860"/>
      <c r="X357" s="610"/>
      <c r="Y357" s="610"/>
      <c r="Z357" s="610"/>
      <c r="AA357" s="610"/>
      <c r="AB357" s="610"/>
      <c r="AC357" s="610" t="s">
        <v>828</v>
      </c>
      <c r="AD357" s="610"/>
      <c r="AE357" s="610"/>
      <c r="AF357" s="610"/>
      <c r="AG357" s="610"/>
      <c r="AH357" s="610"/>
      <c r="AI357" s="610"/>
      <c r="AJ357" s="610"/>
      <c r="AK357" s="610"/>
      <c r="AL357" s="610"/>
    </row>
    <row r="358" spans="1:38" ht="14.25" customHeight="1">
      <c r="A358" s="6"/>
      <c r="B358" s="610"/>
      <c r="C358" s="610"/>
      <c r="D358" s="611"/>
      <c r="E358" s="654" t="s">
        <v>678</v>
      </c>
      <c r="F358" s="631" t="s">
        <v>601</v>
      </c>
      <c r="G358" s="610"/>
      <c r="H358" s="611"/>
      <c r="I358" s="631"/>
      <c r="J358" s="631"/>
      <c r="K358" s="631"/>
      <c r="L358" s="611"/>
      <c r="M358" s="631"/>
      <c r="N358" s="631"/>
      <c r="O358" s="610" t="s">
        <v>601</v>
      </c>
      <c r="P358" s="849">
        <f>1-(2*(V357)*TAN(RADIANS(45-Q92/2)))/F5</f>
        <v>0.77610077709562431</v>
      </c>
      <c r="Q358" s="849"/>
      <c r="R358" s="655"/>
      <c r="S358" s="610"/>
      <c r="T358" s="611"/>
      <c r="U358" s="636"/>
      <c r="V358" s="636"/>
      <c r="W358" s="636"/>
      <c r="X358" s="610"/>
      <c r="Y358" s="610"/>
      <c r="Z358" s="610"/>
      <c r="AA358" s="610"/>
      <c r="AB358" s="610"/>
      <c r="AC358" s="610" t="s">
        <v>829</v>
      </c>
      <c r="AD358" s="610"/>
      <c r="AE358" s="610"/>
      <c r="AF358" s="610"/>
      <c r="AG358" s="610"/>
      <c r="AH358" s="610"/>
      <c r="AI358" s="610"/>
      <c r="AJ358" s="610"/>
      <c r="AK358" s="610"/>
      <c r="AL358" s="610"/>
    </row>
    <row r="359" spans="1:38" ht="14.25" customHeight="1">
      <c r="A359" s="6"/>
      <c r="B359" s="610"/>
      <c r="C359" s="610"/>
      <c r="D359" s="610"/>
      <c r="E359" s="610"/>
      <c r="F359" s="610"/>
      <c r="G359" s="610"/>
      <c r="H359" s="610"/>
      <c r="I359" s="610"/>
      <c r="J359" s="610"/>
      <c r="K359" s="611"/>
      <c r="L359" s="658"/>
      <c r="M359" s="611"/>
      <c r="N359" s="611"/>
      <c r="O359" s="611"/>
      <c r="P359" s="611"/>
      <c r="Q359" s="611"/>
      <c r="R359" s="611"/>
      <c r="S359" s="611"/>
      <c r="T359" s="645"/>
      <c r="U359" s="645"/>
      <c r="V359" s="645"/>
      <c r="W359" s="610"/>
      <c r="X359" s="610"/>
      <c r="Y359" s="610"/>
      <c r="Z359" s="610"/>
      <c r="AA359" s="610"/>
      <c r="AB359" s="610"/>
      <c r="AC359" s="610" t="s">
        <v>831</v>
      </c>
      <c r="AD359" s="610"/>
      <c r="AE359" s="610"/>
      <c r="AF359" s="610"/>
      <c r="AG359" s="610"/>
      <c r="AH359" s="610"/>
      <c r="AI359" s="610"/>
      <c r="AJ359" s="610"/>
      <c r="AK359" s="610"/>
      <c r="AL359" s="610"/>
    </row>
    <row r="360" spans="1:38" ht="14.25" customHeight="1">
      <c r="A360" s="6"/>
      <c r="B360" s="610"/>
      <c r="C360" s="610"/>
      <c r="D360" s="610"/>
      <c r="E360" s="654" t="s">
        <v>678</v>
      </c>
      <c r="F360" s="631" t="s">
        <v>601</v>
      </c>
      <c r="G360" s="610"/>
      <c r="H360" s="611"/>
      <c r="I360" s="631"/>
      <c r="J360" s="631"/>
      <c r="K360" s="631"/>
      <c r="L360" s="611"/>
      <c r="M360" s="631"/>
      <c r="N360" s="631"/>
      <c r="O360" s="610" t="s">
        <v>601</v>
      </c>
      <c r="P360" s="849">
        <f>0.5-((V357)/(2*$R$354))</f>
        <v>0.45496897820040427</v>
      </c>
      <c r="Q360" s="849"/>
      <c r="R360" s="655"/>
      <c r="S360" s="610"/>
      <c r="T360" s="645"/>
      <c r="U360" s="645"/>
      <c r="V360" s="645"/>
      <c r="W360" s="610"/>
      <c r="X360" s="610"/>
      <c r="Y360" s="610"/>
      <c r="Z360" s="610"/>
      <c r="AA360" s="610"/>
      <c r="AB360" s="610"/>
      <c r="AC360" s="610" t="s">
        <v>830</v>
      </c>
      <c r="AD360" s="610"/>
      <c r="AE360" s="610"/>
      <c r="AF360" s="610"/>
      <c r="AG360" s="610"/>
      <c r="AH360" s="610"/>
      <c r="AI360" s="610"/>
      <c r="AJ360" s="610"/>
      <c r="AK360" s="610"/>
      <c r="AL360" s="610"/>
    </row>
    <row r="361" spans="1:38" ht="14.25" customHeight="1">
      <c r="A361" s="6"/>
      <c r="B361" s="610"/>
      <c r="C361" s="610"/>
      <c r="D361" s="610"/>
      <c r="E361" s="610"/>
      <c r="F361" s="610"/>
      <c r="G361" s="610"/>
      <c r="H361" s="610"/>
      <c r="I361" s="610"/>
      <c r="J361" s="610"/>
      <c r="K361" s="611"/>
      <c r="L361" s="658"/>
      <c r="M361" s="611"/>
      <c r="N361" s="611"/>
      <c r="O361" s="611"/>
      <c r="P361" s="611"/>
      <c r="Q361" s="611"/>
      <c r="R361" s="611"/>
      <c r="S361" s="611"/>
      <c r="T361" s="645"/>
      <c r="U361" s="645"/>
      <c r="V361" s="645"/>
      <c r="W361" s="610"/>
      <c r="X361" s="610"/>
      <c r="Y361" s="610"/>
      <c r="Z361" s="610"/>
      <c r="AA361" s="610"/>
      <c r="AB361" s="610"/>
      <c r="AC361" s="610"/>
      <c r="AD361" s="610"/>
      <c r="AE361" s="610"/>
      <c r="AF361" s="610"/>
      <c r="AG361" s="610"/>
      <c r="AH361" s="610"/>
      <c r="AI361" s="610"/>
      <c r="AJ361" s="610"/>
      <c r="AK361" s="610"/>
      <c r="AL361" s="610"/>
    </row>
    <row r="362" spans="1:38" ht="14.25" customHeight="1">
      <c r="A362" s="6"/>
      <c r="B362" s="610"/>
      <c r="C362" s="610"/>
      <c r="D362" s="610"/>
      <c r="E362" s="652" t="s">
        <v>685</v>
      </c>
      <c r="F362" s="610"/>
      <c r="G362" s="610"/>
      <c r="H362" s="610"/>
      <c r="I362" s="610"/>
      <c r="J362" s="610"/>
      <c r="K362" s="611"/>
      <c r="L362" s="658"/>
      <c r="M362" s="611"/>
      <c r="N362" s="611" t="s">
        <v>601</v>
      </c>
      <c r="O362" s="619">
        <v>12</v>
      </c>
      <c r="P362" s="659" t="s">
        <v>622</v>
      </c>
      <c r="Q362" s="619">
        <f>+U340</f>
        <v>75</v>
      </c>
      <c r="R362" s="659" t="s">
        <v>622</v>
      </c>
      <c r="S362" s="986">
        <f>V357</f>
        <v>0.5</v>
      </c>
      <c r="T362" s="986"/>
      <c r="U362" s="659" t="s">
        <v>622</v>
      </c>
      <c r="V362" s="987">
        <f>IF(V357&lt;$T$352,P358,P360)</f>
        <v>0.45496897820040427</v>
      </c>
      <c r="W362" s="987"/>
      <c r="X362" s="610"/>
      <c r="Y362" s="610"/>
      <c r="Z362" s="610"/>
      <c r="AA362" s="610"/>
      <c r="AB362" s="610"/>
      <c r="AC362" s="610"/>
      <c r="AD362" s="610"/>
      <c r="AE362" s="610"/>
      <c r="AF362" s="610"/>
      <c r="AG362" s="610"/>
      <c r="AH362" s="610"/>
      <c r="AI362" s="610"/>
      <c r="AJ362" s="610"/>
      <c r="AK362" s="610"/>
      <c r="AL362" s="610"/>
    </row>
    <row r="363" spans="1:38" ht="14.25" customHeight="1">
      <c r="A363" s="6"/>
      <c r="B363" s="610"/>
      <c r="C363" s="610"/>
      <c r="D363" s="610"/>
      <c r="E363" s="610"/>
      <c r="F363" s="610"/>
      <c r="G363" s="610"/>
      <c r="H363" s="610"/>
      <c r="I363" s="610"/>
      <c r="J363" s="610"/>
      <c r="K363" s="611"/>
      <c r="L363" s="658"/>
      <c r="M363" s="611"/>
      <c r="N363" s="611"/>
      <c r="O363" s="611"/>
      <c r="P363" s="611"/>
      <c r="Q363" s="611"/>
      <c r="R363" s="611">
        <f>+$F$5^2</f>
        <v>3.4225000000000003</v>
      </c>
      <c r="S363" s="611"/>
      <c r="T363" s="645"/>
      <c r="U363" s="645"/>
      <c r="V363" s="645"/>
      <c r="W363" s="610"/>
      <c r="X363" s="610"/>
      <c r="Y363" s="610"/>
      <c r="Z363" s="610"/>
      <c r="AA363" s="610"/>
      <c r="AB363" s="610"/>
      <c r="AC363" s="775" t="s">
        <v>881</v>
      </c>
      <c r="AD363" s="610"/>
      <c r="AE363" s="610"/>
      <c r="AF363" s="610"/>
      <c r="AG363" s="610"/>
      <c r="AH363" s="610"/>
      <c r="AI363" s="610"/>
      <c r="AJ363" s="610"/>
      <c r="AK363" s="610"/>
      <c r="AL363" s="610"/>
    </row>
    <row r="364" spans="1:38" ht="14.25" customHeight="1">
      <c r="A364" s="6"/>
      <c r="B364" s="610"/>
      <c r="C364" s="610"/>
      <c r="D364" s="610"/>
      <c r="E364" s="610"/>
      <c r="F364" s="610"/>
      <c r="G364" s="610"/>
      <c r="H364" s="610"/>
      <c r="I364" s="610"/>
      <c r="J364" s="610"/>
      <c r="K364" s="611"/>
      <c r="L364" s="658"/>
      <c r="M364" s="611"/>
      <c r="N364" s="611" t="s">
        <v>601</v>
      </c>
      <c r="O364" s="988">
        <f>IF(OR($F$5&lt;2,$F$5=2),(O362*Q362*S362*V362/R363)/10,O362*Q362*S362*V362/R363)</f>
        <v>5.9820610720286895</v>
      </c>
      <c r="P364" s="988"/>
      <c r="Q364" s="988"/>
      <c r="R364" s="610" t="s">
        <v>624</v>
      </c>
      <c r="S364" s="611"/>
      <c r="T364" s="645"/>
      <c r="U364" s="645"/>
      <c r="V364" s="645"/>
      <c r="W364" s="610"/>
      <c r="X364" s="610"/>
      <c r="Y364" s="610"/>
      <c r="Z364" s="610"/>
      <c r="AA364" s="610"/>
      <c r="AB364" s="610"/>
      <c r="AC364" s="610"/>
      <c r="AD364" s="610"/>
      <c r="AE364" s="610"/>
      <c r="AF364" s="610"/>
      <c r="AG364" s="610"/>
      <c r="AH364" s="610"/>
      <c r="AI364" s="610"/>
      <c r="AJ364" s="610"/>
      <c r="AK364" s="610"/>
      <c r="AL364" s="610"/>
    </row>
    <row r="365" spans="1:38" ht="14.25" customHeight="1">
      <c r="A365" s="6"/>
      <c r="B365" s="610"/>
      <c r="C365" s="610"/>
      <c r="D365" s="610"/>
      <c r="E365" s="610"/>
      <c r="F365" s="610"/>
      <c r="G365" s="610"/>
      <c r="H365" s="610"/>
      <c r="I365" s="610"/>
      <c r="J365" s="610"/>
      <c r="K365" s="611"/>
      <c r="L365" s="658"/>
      <c r="M365" s="611"/>
      <c r="N365" s="611"/>
      <c r="O365" s="656"/>
      <c r="P365" s="656"/>
      <c r="Q365" s="656"/>
      <c r="R365" s="610"/>
      <c r="S365" s="611"/>
      <c r="T365" s="645"/>
      <c r="U365" s="645"/>
      <c r="V365" s="645"/>
      <c r="W365" s="610"/>
      <c r="X365" s="610"/>
      <c r="Y365" s="610"/>
      <c r="Z365" s="610"/>
      <c r="AA365" s="610"/>
      <c r="AB365" s="610"/>
      <c r="AC365" s="610"/>
      <c r="AD365" s="610"/>
      <c r="AE365" s="610"/>
      <c r="AF365" s="610"/>
      <c r="AG365" s="610"/>
      <c r="AH365" s="610"/>
      <c r="AI365" s="610"/>
      <c r="AJ365" s="610"/>
      <c r="AK365" s="610"/>
      <c r="AL365" s="610"/>
    </row>
    <row r="366" spans="1:38" ht="14.25" customHeight="1">
      <c r="A366" s="6"/>
      <c r="B366" s="610"/>
      <c r="C366" s="610"/>
      <c r="D366" s="611" t="s">
        <v>681</v>
      </c>
      <c r="E366" s="631" t="s">
        <v>601</v>
      </c>
      <c r="F366" s="741">
        <f>IF($X$92=1,0,IF($X$92=2,2,IF($X$92=3,2,0)))</f>
        <v>0</v>
      </c>
      <c r="G366" s="631" t="s">
        <v>682</v>
      </c>
      <c r="H366" s="611"/>
      <c r="I366" s="631"/>
      <c r="J366" s="631"/>
      <c r="K366" s="631" t="s">
        <v>601</v>
      </c>
      <c r="L366" s="988">
        <v>0.5</v>
      </c>
      <c r="M366" s="988"/>
      <c r="N366" s="631" t="s">
        <v>623</v>
      </c>
      <c r="O366" s="657">
        <f>F366</f>
        <v>0</v>
      </c>
      <c r="P366" s="631" t="s">
        <v>683</v>
      </c>
      <c r="Q366" s="610" t="s">
        <v>684</v>
      </c>
      <c r="R366" s="636" t="s">
        <v>622</v>
      </c>
      <c r="S366" s="848">
        <v>0.5</v>
      </c>
      <c r="T366" s="848"/>
      <c r="U366" s="610" t="s">
        <v>601</v>
      </c>
      <c r="V366" s="860">
        <f>L366+(F366-1)*S366</f>
        <v>0</v>
      </c>
      <c r="W366" s="860"/>
      <c r="X366" s="610"/>
      <c r="Y366" s="610"/>
      <c r="Z366" s="610"/>
      <c r="AA366" s="610"/>
      <c r="AB366" s="610"/>
      <c r="AC366" s="610"/>
      <c r="AD366" s="610"/>
      <c r="AE366" s="610"/>
      <c r="AF366" s="610"/>
      <c r="AG366" s="610"/>
      <c r="AH366" s="610"/>
      <c r="AI366" s="610"/>
      <c r="AJ366" s="610"/>
      <c r="AK366" s="610"/>
      <c r="AL366" s="610"/>
    </row>
    <row r="367" spans="1:38" ht="14.25" customHeight="1">
      <c r="A367" s="6"/>
      <c r="B367" s="610"/>
      <c r="C367" s="610"/>
      <c r="D367" s="611"/>
      <c r="E367" s="654" t="s">
        <v>678</v>
      </c>
      <c r="F367" s="631" t="s">
        <v>601</v>
      </c>
      <c r="G367" s="610"/>
      <c r="H367" s="611"/>
      <c r="I367" s="631"/>
      <c r="J367" s="631"/>
      <c r="K367" s="631"/>
      <c r="L367" s="611"/>
      <c r="M367" s="631"/>
      <c r="N367" s="631"/>
      <c r="O367" s="610" t="s">
        <v>601</v>
      </c>
      <c r="P367" s="849">
        <f>1-(2*(V366)*TAN(RADIANS(45-Q92/2)))/F5</f>
        <v>1</v>
      </c>
      <c r="Q367" s="849"/>
      <c r="R367" s="655"/>
      <c r="S367" s="610"/>
      <c r="T367" s="611"/>
      <c r="U367" s="636"/>
      <c r="V367" s="636"/>
      <c r="W367" s="636"/>
      <c r="X367" s="610"/>
      <c r="Y367" s="610"/>
      <c r="Z367" s="610"/>
      <c r="AA367" s="610"/>
      <c r="AB367" s="610"/>
      <c r="AC367" s="610"/>
      <c r="AD367" s="610"/>
      <c r="AE367" s="610"/>
      <c r="AF367" s="610"/>
      <c r="AG367" s="610"/>
      <c r="AH367" s="610"/>
      <c r="AI367" s="610"/>
      <c r="AJ367" s="610"/>
      <c r="AK367" s="610"/>
      <c r="AL367" s="610"/>
    </row>
    <row r="368" spans="1:38" ht="14.25" customHeight="1">
      <c r="A368" s="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1"/>
      <c r="L368" s="658"/>
      <c r="M368" s="611"/>
      <c r="N368" s="611"/>
      <c r="O368" s="611"/>
      <c r="P368" s="611"/>
      <c r="Q368" s="611"/>
      <c r="R368" s="611"/>
      <c r="S368" s="611"/>
      <c r="T368" s="645"/>
      <c r="U368" s="645"/>
      <c r="V368" s="645"/>
      <c r="W368" s="610"/>
      <c r="X368" s="610"/>
      <c r="Y368" s="610"/>
      <c r="Z368" s="610"/>
      <c r="AA368" s="610"/>
      <c r="AB368" s="610"/>
      <c r="AC368" s="610"/>
      <c r="AD368" s="610"/>
      <c r="AE368" s="610"/>
      <c r="AF368" s="610"/>
      <c r="AG368" s="610"/>
      <c r="AH368" s="610"/>
      <c r="AI368" s="610"/>
      <c r="AJ368" s="610"/>
      <c r="AK368" s="610"/>
      <c r="AL368" s="610"/>
    </row>
    <row r="369" spans="1:38" ht="14.25" customHeight="1">
      <c r="A369" s="6"/>
      <c r="B369" s="610"/>
      <c r="C369" s="610"/>
      <c r="D369" s="610"/>
      <c r="E369" s="654" t="s">
        <v>678</v>
      </c>
      <c r="F369" s="631" t="s">
        <v>601</v>
      </c>
      <c r="G369" s="610"/>
      <c r="H369" s="611"/>
      <c r="I369" s="631"/>
      <c r="J369" s="631"/>
      <c r="K369" s="631"/>
      <c r="L369" s="611"/>
      <c r="M369" s="631"/>
      <c r="N369" s="631"/>
      <c r="O369" s="610" t="s">
        <v>601</v>
      </c>
      <c r="P369" s="849">
        <f>0.5-((V366)/(2*$R$354))</f>
        <v>0.5</v>
      </c>
      <c r="Q369" s="849"/>
      <c r="R369" s="655"/>
      <c r="S369" s="610"/>
      <c r="T369" s="645"/>
      <c r="U369" s="645"/>
      <c r="V369" s="645"/>
      <c r="W369" s="610"/>
      <c r="X369" s="610"/>
      <c r="Y369" s="610"/>
      <c r="Z369" s="610"/>
      <c r="AA369" s="610"/>
      <c r="AB369" s="610"/>
      <c r="AC369" s="610"/>
      <c r="AD369" s="610"/>
      <c r="AE369" s="610"/>
      <c r="AF369" s="610"/>
      <c r="AG369" s="610"/>
      <c r="AH369" s="610"/>
      <c r="AI369" s="610"/>
      <c r="AJ369" s="610"/>
      <c r="AK369" s="610"/>
      <c r="AL369" s="610"/>
    </row>
    <row r="370" spans="1:38" ht="14.25" customHeight="1">
      <c r="A370" s="6"/>
      <c r="B370" s="610"/>
      <c r="C370" s="610"/>
      <c r="D370" s="610"/>
      <c r="E370" s="610"/>
      <c r="F370" s="610"/>
      <c r="G370" s="610"/>
      <c r="H370" s="610"/>
      <c r="I370" s="610"/>
      <c r="J370" s="610"/>
      <c r="K370" s="611"/>
      <c r="L370" s="658"/>
      <c r="M370" s="611"/>
      <c r="N370" s="611"/>
      <c r="O370" s="611"/>
      <c r="P370" s="611"/>
      <c r="Q370" s="611"/>
      <c r="R370" s="611"/>
      <c r="S370" s="611"/>
      <c r="T370" s="645"/>
      <c r="U370" s="645"/>
      <c r="V370" s="645"/>
      <c r="W370" s="610"/>
      <c r="X370" s="610"/>
      <c r="Y370" s="610"/>
      <c r="Z370" s="610"/>
      <c r="AA370" s="610"/>
      <c r="AB370" s="610"/>
      <c r="AC370" s="610"/>
      <c r="AD370" s="610"/>
      <c r="AE370" s="610"/>
      <c r="AF370" s="610"/>
      <c r="AG370" s="610"/>
      <c r="AH370" s="610"/>
      <c r="AI370" s="610"/>
      <c r="AJ370" s="610"/>
      <c r="AK370" s="610"/>
      <c r="AL370" s="610"/>
    </row>
    <row r="371" spans="1:38" ht="14.25" customHeight="1">
      <c r="A371" s="6"/>
      <c r="B371" s="610"/>
      <c r="C371" s="610"/>
      <c r="D371" s="610"/>
      <c r="E371" s="652" t="s">
        <v>686</v>
      </c>
      <c r="F371" s="610"/>
      <c r="G371" s="610"/>
      <c r="H371" s="610"/>
      <c r="I371" s="610"/>
      <c r="J371" s="610"/>
      <c r="K371" s="611"/>
      <c r="L371" s="658"/>
      <c r="M371" s="611"/>
      <c r="N371" s="611" t="s">
        <v>601</v>
      </c>
      <c r="O371" s="619">
        <v>12</v>
      </c>
      <c r="P371" s="659" t="s">
        <v>622</v>
      </c>
      <c r="Q371" s="619">
        <f>+U340</f>
        <v>75</v>
      </c>
      <c r="R371" s="659" t="s">
        <v>622</v>
      </c>
      <c r="S371" s="986">
        <f>V366</f>
        <v>0</v>
      </c>
      <c r="T371" s="986"/>
      <c r="U371" s="659" t="s">
        <v>622</v>
      </c>
      <c r="V371" s="987">
        <f>IF(V366&lt;$T$352,P367,P369)</f>
        <v>1</v>
      </c>
      <c r="W371" s="987"/>
      <c r="X371" s="610"/>
      <c r="Y371" s="610"/>
      <c r="Z371" s="610"/>
      <c r="AA371" s="610"/>
      <c r="AB371" s="610"/>
      <c r="AC371" s="610"/>
      <c r="AD371" s="610"/>
      <c r="AE371" s="610"/>
      <c r="AF371" s="610"/>
      <c r="AG371" s="610"/>
      <c r="AH371" s="610"/>
      <c r="AI371" s="610"/>
      <c r="AJ371" s="610"/>
      <c r="AK371" s="610"/>
      <c r="AL371" s="610"/>
    </row>
    <row r="372" spans="1:38" ht="14.25" customHeight="1">
      <c r="A372" s="6"/>
      <c r="B372" s="610"/>
      <c r="C372" s="610"/>
      <c r="D372" s="610"/>
      <c r="E372" s="610"/>
      <c r="F372" s="610"/>
      <c r="G372" s="610"/>
      <c r="H372" s="610"/>
      <c r="I372" s="610"/>
      <c r="J372" s="610"/>
      <c r="K372" s="611"/>
      <c r="L372" s="658"/>
      <c r="M372" s="611"/>
      <c r="N372" s="611"/>
      <c r="O372" s="611"/>
      <c r="P372" s="611"/>
      <c r="Q372" s="611"/>
      <c r="R372" s="611">
        <f>+$F$5^2</f>
        <v>3.4225000000000003</v>
      </c>
      <c r="S372" s="611"/>
      <c r="T372" s="645"/>
      <c r="U372" s="645"/>
      <c r="V372" s="645"/>
      <c r="W372" s="610"/>
      <c r="X372" s="610"/>
      <c r="Y372" s="610"/>
      <c r="Z372" s="610"/>
      <c r="AA372" s="610"/>
      <c r="AB372" s="610"/>
      <c r="AC372" s="610"/>
      <c r="AD372" s="610"/>
      <c r="AE372" s="610"/>
      <c r="AF372" s="610"/>
      <c r="AG372" s="610"/>
      <c r="AH372" s="610"/>
      <c r="AI372" s="610"/>
      <c r="AJ372" s="610"/>
      <c r="AK372" s="610"/>
      <c r="AL372" s="610"/>
    </row>
    <row r="373" spans="1:38" ht="14.25" customHeight="1">
      <c r="A373" s="6"/>
      <c r="B373" s="610"/>
      <c r="C373" s="610"/>
      <c r="D373" s="610"/>
      <c r="E373" s="610"/>
      <c r="F373" s="610"/>
      <c r="G373" s="610"/>
      <c r="H373" s="610"/>
      <c r="I373" s="610"/>
      <c r="J373" s="610"/>
      <c r="K373" s="611"/>
      <c r="L373" s="658"/>
      <c r="M373" s="611"/>
      <c r="N373" s="611" t="s">
        <v>601</v>
      </c>
      <c r="O373" s="988">
        <f>IF(OR($F$5&lt;2,$F$5=2),(O371*Q371*S371*V371/R372)/10,O371*Q371*S371*V371/R372)</f>
        <v>0</v>
      </c>
      <c r="P373" s="988"/>
      <c r="Q373" s="988"/>
      <c r="R373" s="610" t="s">
        <v>624</v>
      </c>
      <c r="S373" s="611"/>
      <c r="T373" s="645"/>
      <c r="U373" s="645"/>
      <c r="V373" s="645"/>
      <c r="W373" s="610"/>
      <c r="X373" s="610"/>
      <c r="Y373" s="610"/>
      <c r="Z373" s="610"/>
      <c r="AA373" s="610"/>
      <c r="AB373" s="610"/>
      <c r="AC373" s="610"/>
      <c r="AD373" s="610"/>
      <c r="AE373" s="610"/>
      <c r="AF373" s="610"/>
      <c r="AG373" s="610"/>
      <c r="AH373" s="610"/>
      <c r="AI373" s="610"/>
      <c r="AJ373" s="610"/>
      <c r="AK373" s="610"/>
      <c r="AL373" s="610"/>
    </row>
    <row r="374" spans="1:38" ht="14.25" customHeight="1">
      <c r="A374" s="6"/>
      <c r="B374" s="610"/>
      <c r="C374" s="610"/>
      <c r="D374" s="610"/>
      <c r="E374" s="610"/>
      <c r="F374" s="610"/>
      <c r="G374" s="610"/>
      <c r="H374" s="610"/>
      <c r="I374" s="610"/>
      <c r="J374" s="610"/>
      <c r="K374" s="611"/>
      <c r="L374" s="658"/>
      <c r="M374" s="611"/>
      <c r="N374" s="611"/>
      <c r="O374" s="656"/>
      <c r="P374" s="656"/>
      <c r="Q374" s="656"/>
      <c r="R374" s="610"/>
      <c r="S374" s="611"/>
      <c r="T374" s="645"/>
      <c r="U374" s="645"/>
      <c r="V374" s="645"/>
      <c r="W374" s="610"/>
      <c r="X374" s="610"/>
      <c r="Y374" s="610"/>
      <c r="Z374" s="610"/>
      <c r="AA374" s="610"/>
      <c r="AB374" s="610"/>
      <c r="AC374" s="610"/>
      <c r="AD374" s="610"/>
      <c r="AE374" s="610"/>
      <c r="AF374" s="610"/>
      <c r="AG374" s="610"/>
      <c r="AH374" s="610"/>
      <c r="AI374" s="610"/>
      <c r="AJ374" s="610"/>
      <c r="AK374" s="610"/>
      <c r="AL374" s="610"/>
    </row>
    <row r="375" spans="1:38" ht="14.25" customHeight="1">
      <c r="A375" s="6"/>
      <c r="B375" s="610"/>
      <c r="C375" s="610"/>
      <c r="D375" s="611" t="s">
        <v>681</v>
      </c>
      <c r="E375" s="631" t="s">
        <v>601</v>
      </c>
      <c r="F375" s="741">
        <f>IF($X$92=1,0,IF($X$92=2,0,IF($X$92=3,3,0)))</f>
        <v>0</v>
      </c>
      <c r="G375" s="631" t="s">
        <v>682</v>
      </c>
      <c r="H375" s="611"/>
      <c r="I375" s="631"/>
      <c r="J375" s="631"/>
      <c r="K375" s="631" t="s">
        <v>601</v>
      </c>
      <c r="L375" s="988">
        <v>0.5</v>
      </c>
      <c r="M375" s="988"/>
      <c r="N375" s="631" t="s">
        <v>623</v>
      </c>
      <c r="O375" s="657">
        <f>F375</f>
        <v>0</v>
      </c>
      <c r="P375" s="631" t="s">
        <v>683</v>
      </c>
      <c r="Q375" s="610" t="s">
        <v>684</v>
      </c>
      <c r="R375" s="636" t="s">
        <v>622</v>
      </c>
      <c r="S375" s="848">
        <v>0.5</v>
      </c>
      <c r="T375" s="848"/>
      <c r="U375" s="610" t="s">
        <v>601</v>
      </c>
      <c r="V375" s="860">
        <f>L375+(F375-1)*S375</f>
        <v>0</v>
      </c>
      <c r="W375" s="860"/>
      <c r="X375" s="610"/>
      <c r="Y375" s="610"/>
      <c r="Z375" s="610"/>
      <c r="AA375" s="610"/>
      <c r="AB375" s="610"/>
      <c r="AC375" s="610"/>
      <c r="AD375" s="610"/>
      <c r="AE375" s="610"/>
      <c r="AF375" s="610"/>
      <c r="AG375" s="610"/>
      <c r="AH375" s="610"/>
      <c r="AI375" s="610"/>
      <c r="AJ375" s="610"/>
      <c r="AK375" s="610"/>
      <c r="AL375" s="610"/>
    </row>
    <row r="376" spans="1:38" ht="14.25" customHeight="1">
      <c r="A376" s="6"/>
      <c r="B376" s="610"/>
      <c r="C376" s="610"/>
      <c r="D376" s="611"/>
      <c r="E376" s="654" t="s">
        <v>678</v>
      </c>
      <c r="F376" s="631" t="s">
        <v>601</v>
      </c>
      <c r="G376" s="610"/>
      <c r="H376" s="611"/>
      <c r="I376" s="631"/>
      <c r="J376" s="631"/>
      <c r="K376" s="631"/>
      <c r="L376" s="611"/>
      <c r="M376" s="631"/>
      <c r="N376" s="631"/>
      <c r="O376" s="610" t="s">
        <v>601</v>
      </c>
      <c r="P376" s="849">
        <f>1-(2*(V375)*TAN(RADIANS(45-Q92/2)))/F5</f>
        <v>1</v>
      </c>
      <c r="Q376" s="849"/>
      <c r="R376" s="655"/>
      <c r="S376" s="610"/>
      <c r="T376" s="611"/>
      <c r="U376" s="636"/>
      <c r="V376" s="636"/>
      <c r="W376" s="636"/>
      <c r="X376" s="610"/>
      <c r="Y376" s="610"/>
      <c r="Z376" s="610"/>
      <c r="AA376" s="610"/>
      <c r="AB376" s="610"/>
      <c r="AC376" s="610"/>
      <c r="AD376" s="610"/>
      <c r="AE376" s="610"/>
      <c r="AF376" s="610"/>
      <c r="AG376" s="610"/>
      <c r="AH376" s="610"/>
      <c r="AI376" s="610"/>
      <c r="AJ376" s="610"/>
      <c r="AK376" s="610"/>
      <c r="AL376" s="610"/>
    </row>
    <row r="377" spans="1:38" ht="14.25" customHeight="1">
      <c r="A377" s="6"/>
      <c r="B377" s="610"/>
      <c r="C377" s="610"/>
      <c r="D377" s="610"/>
      <c r="E377" s="610"/>
      <c r="F377" s="610"/>
      <c r="G377" s="610"/>
      <c r="H377" s="610"/>
      <c r="I377" s="610"/>
      <c r="J377" s="610"/>
      <c r="K377" s="611"/>
      <c r="L377" s="658"/>
      <c r="M377" s="611"/>
      <c r="N377" s="611"/>
      <c r="O377" s="611"/>
      <c r="P377" s="611"/>
      <c r="Q377" s="611"/>
      <c r="R377" s="611"/>
      <c r="S377" s="611"/>
      <c r="T377" s="645"/>
      <c r="U377" s="645"/>
      <c r="V377" s="645"/>
      <c r="W377" s="610"/>
      <c r="X377" s="610"/>
      <c r="Y377" s="610"/>
      <c r="Z377" s="610"/>
      <c r="AA377" s="610"/>
      <c r="AB377" s="610"/>
      <c r="AC377" s="610"/>
      <c r="AD377" s="610"/>
      <c r="AE377" s="610"/>
      <c r="AF377" s="610"/>
      <c r="AG377" s="610"/>
      <c r="AH377" s="610"/>
      <c r="AI377" s="610"/>
      <c r="AJ377" s="610"/>
      <c r="AK377" s="610"/>
      <c r="AL377" s="610"/>
    </row>
    <row r="378" spans="1:38" ht="13.5" customHeight="1">
      <c r="A378" s="6"/>
      <c r="B378" s="610"/>
      <c r="C378" s="610"/>
      <c r="D378" s="610"/>
      <c r="E378" s="654" t="s">
        <v>678</v>
      </c>
      <c r="F378" s="631" t="s">
        <v>601</v>
      </c>
      <c r="G378" s="610"/>
      <c r="H378" s="611"/>
      <c r="I378" s="631"/>
      <c r="J378" s="631"/>
      <c r="K378" s="631"/>
      <c r="L378" s="611"/>
      <c r="M378" s="631"/>
      <c r="N378" s="631"/>
      <c r="O378" s="610" t="s">
        <v>601</v>
      </c>
      <c r="P378" s="849">
        <f>0.5-((V375)/(2*$R$354))</f>
        <v>0.5</v>
      </c>
      <c r="Q378" s="849"/>
      <c r="R378" s="655"/>
      <c r="S378" s="610"/>
      <c r="T378" s="645"/>
      <c r="U378" s="645"/>
      <c r="V378" s="645"/>
      <c r="W378" s="610"/>
      <c r="X378" s="610"/>
      <c r="Y378" s="610"/>
      <c r="Z378" s="610"/>
      <c r="AA378" s="610"/>
      <c r="AB378" s="610"/>
      <c r="AC378" s="610"/>
      <c r="AD378" s="610"/>
      <c r="AE378" s="610"/>
      <c r="AF378" s="610"/>
      <c r="AG378" s="610"/>
      <c r="AH378" s="610"/>
      <c r="AI378" s="610"/>
      <c r="AJ378" s="610"/>
      <c r="AK378" s="610"/>
      <c r="AL378" s="610"/>
    </row>
    <row r="379" spans="1:38" ht="13.5" customHeight="1">
      <c r="A379" s="6"/>
      <c r="B379" s="610"/>
      <c r="C379" s="610"/>
      <c r="D379" s="610"/>
      <c r="E379" s="610"/>
      <c r="F379" s="610"/>
      <c r="G379" s="610"/>
      <c r="H379" s="610"/>
      <c r="I379" s="610"/>
      <c r="J379" s="610"/>
      <c r="K379" s="611"/>
      <c r="L379" s="658"/>
      <c r="M379" s="611"/>
      <c r="N379" s="611"/>
      <c r="O379" s="611"/>
      <c r="P379" s="611"/>
      <c r="Q379" s="611"/>
      <c r="R379" s="611"/>
      <c r="S379" s="611"/>
      <c r="T379" s="645"/>
      <c r="U379" s="645"/>
      <c r="V379" s="645"/>
      <c r="W379" s="610"/>
      <c r="X379" s="610"/>
      <c r="Y379" s="610"/>
      <c r="Z379" s="610"/>
      <c r="AA379" s="610"/>
      <c r="AB379" s="610"/>
      <c r="AC379" s="610"/>
      <c r="AD379" s="610"/>
      <c r="AE379" s="610"/>
      <c r="AF379" s="610"/>
      <c r="AG379" s="610"/>
      <c r="AH379" s="610"/>
      <c r="AI379" s="610"/>
      <c r="AJ379" s="610"/>
      <c r="AK379" s="610"/>
      <c r="AL379" s="610"/>
    </row>
    <row r="380" spans="1:38" ht="13.5" customHeight="1">
      <c r="A380" s="6"/>
      <c r="B380" s="610"/>
      <c r="C380" s="610"/>
      <c r="D380" s="610"/>
      <c r="E380" s="652" t="s">
        <v>686</v>
      </c>
      <c r="F380" s="610"/>
      <c r="G380" s="610"/>
      <c r="H380" s="610"/>
      <c r="I380" s="610"/>
      <c r="J380" s="610"/>
      <c r="K380" s="611"/>
      <c r="L380" s="658"/>
      <c r="M380" s="611"/>
      <c r="N380" s="611" t="s">
        <v>601</v>
      </c>
      <c r="O380" s="619">
        <v>12</v>
      </c>
      <c r="P380" s="659" t="s">
        <v>622</v>
      </c>
      <c r="Q380" s="619">
        <f>+U340</f>
        <v>75</v>
      </c>
      <c r="R380" s="659" t="s">
        <v>622</v>
      </c>
      <c r="S380" s="986">
        <f>V375</f>
        <v>0</v>
      </c>
      <c r="T380" s="986"/>
      <c r="U380" s="659" t="s">
        <v>622</v>
      </c>
      <c r="V380" s="987">
        <f>IF(V375&lt;$T$352,P376,P378)</f>
        <v>1</v>
      </c>
      <c r="W380" s="987"/>
      <c r="X380" s="610"/>
      <c r="Y380" s="610"/>
      <c r="Z380" s="610"/>
      <c r="AA380" s="610"/>
      <c r="AB380" s="610"/>
      <c r="AC380" s="610"/>
      <c r="AD380" s="610"/>
      <c r="AE380" s="610"/>
      <c r="AF380" s="610"/>
      <c r="AG380" s="610"/>
      <c r="AH380" s="610"/>
      <c r="AI380" s="610"/>
      <c r="AJ380" s="610"/>
      <c r="AK380" s="610"/>
      <c r="AL380" s="610"/>
    </row>
    <row r="381" spans="1:38" ht="13.5" customHeight="1">
      <c r="A381" s="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1"/>
      <c r="L381" s="658"/>
      <c r="M381" s="611"/>
      <c r="N381" s="611"/>
      <c r="O381" s="611"/>
      <c r="P381" s="611"/>
      <c r="Q381" s="611"/>
      <c r="R381" s="611">
        <f>+$F$5^2</f>
        <v>3.4225000000000003</v>
      </c>
      <c r="S381" s="611"/>
      <c r="T381" s="645"/>
      <c r="U381" s="645"/>
      <c r="V381" s="645"/>
      <c r="W381" s="610"/>
      <c r="X381" s="610"/>
      <c r="Y381" s="610"/>
      <c r="Z381" s="610"/>
      <c r="AA381" s="610"/>
      <c r="AB381" s="610"/>
      <c r="AC381" s="610"/>
      <c r="AD381" s="610"/>
      <c r="AE381" s="610"/>
      <c r="AF381" s="610"/>
      <c r="AG381" s="610"/>
      <c r="AH381" s="610"/>
      <c r="AI381" s="610"/>
      <c r="AJ381" s="610"/>
      <c r="AK381" s="610"/>
      <c r="AL381" s="610"/>
    </row>
    <row r="382" spans="1:38" ht="13.5" customHeight="1">
      <c r="A382" s="6"/>
      <c r="B382" s="610"/>
      <c r="C382" s="610"/>
      <c r="D382" s="610"/>
      <c r="E382" s="610"/>
      <c r="F382" s="610"/>
      <c r="G382" s="610"/>
      <c r="H382" s="610"/>
      <c r="I382" s="610"/>
      <c r="J382" s="610"/>
      <c r="K382" s="611"/>
      <c r="L382" s="658"/>
      <c r="M382" s="611"/>
      <c r="N382" s="611" t="s">
        <v>601</v>
      </c>
      <c r="O382" s="988">
        <f>IF(OR($F$5&lt;2,$F$5=2),(O380*Q380*S380*V380/R381)/10,O380*Q380*S380*V380/R381)</f>
        <v>0</v>
      </c>
      <c r="P382" s="988"/>
      <c r="Q382" s="988"/>
      <c r="R382" s="610" t="s">
        <v>624</v>
      </c>
      <c r="S382" s="611"/>
      <c r="T382" s="645"/>
      <c r="U382" s="645"/>
      <c r="V382" s="645"/>
      <c r="W382" s="610"/>
      <c r="X382" s="610"/>
      <c r="Y382" s="610"/>
      <c r="Z382" s="610"/>
      <c r="AA382" s="610"/>
      <c r="AB382" s="610"/>
      <c r="AC382" s="610"/>
      <c r="AD382" s="610"/>
      <c r="AE382" s="610"/>
      <c r="AF382" s="610"/>
      <c r="AG382" s="610"/>
      <c r="AH382" s="610"/>
      <c r="AI382" s="610"/>
      <c r="AJ382" s="610"/>
      <c r="AK382" s="610"/>
      <c r="AL382" s="610"/>
    </row>
    <row r="383" spans="1:38" ht="13.5" customHeight="1">
      <c r="A383" s="6"/>
      <c r="B383" s="610"/>
      <c r="C383" s="610"/>
      <c r="D383" s="610"/>
      <c r="E383" s="610"/>
      <c r="F383" s="610"/>
      <c r="G383" s="610"/>
      <c r="H383" s="610"/>
      <c r="I383" s="610"/>
      <c r="J383" s="610"/>
      <c r="K383" s="611"/>
      <c r="L383" s="658"/>
      <c r="M383" s="611"/>
      <c r="N383" s="611"/>
      <c r="O383" s="611"/>
      <c r="P383" s="611"/>
      <c r="Q383" s="611"/>
      <c r="R383" s="611"/>
      <c r="S383" s="611"/>
      <c r="T383" s="645"/>
      <c r="U383" s="645"/>
      <c r="V383" s="645"/>
      <c r="W383" s="610"/>
      <c r="X383" s="610"/>
      <c r="Y383" s="610"/>
      <c r="Z383" s="610"/>
      <c r="AA383" s="610"/>
      <c r="AB383" s="610"/>
      <c r="AC383" s="610"/>
      <c r="AD383" s="610"/>
      <c r="AE383" s="610"/>
      <c r="AF383" s="610"/>
      <c r="AG383" s="610"/>
      <c r="AH383" s="610"/>
      <c r="AI383" s="610"/>
      <c r="AJ383" s="610"/>
      <c r="AK383" s="610"/>
      <c r="AL383" s="610"/>
    </row>
    <row r="384" spans="1:38" ht="17.25" customHeight="1">
      <c r="A384" s="6"/>
      <c r="B384" s="610"/>
      <c r="C384" s="610"/>
      <c r="D384" s="610"/>
      <c r="E384" s="652" t="s">
        <v>687</v>
      </c>
      <c r="F384" s="610" t="s">
        <v>601</v>
      </c>
      <c r="G384" s="660" t="s">
        <v>688</v>
      </c>
      <c r="H384" s="610"/>
      <c r="I384" s="610" t="s">
        <v>623</v>
      </c>
      <c r="J384" s="652" t="s">
        <v>689</v>
      </c>
      <c r="K384" s="611"/>
      <c r="L384" s="610" t="s">
        <v>623</v>
      </c>
      <c r="M384" s="652" t="s">
        <v>690</v>
      </c>
      <c r="N384" s="611"/>
      <c r="O384" s="611"/>
      <c r="P384" s="661"/>
      <c r="Q384" s="661"/>
      <c r="R384" s="611" t="s">
        <v>601</v>
      </c>
      <c r="S384" s="988">
        <f>O364+O373+O382</f>
        <v>5.9820610720286895</v>
      </c>
      <c r="T384" s="848"/>
      <c r="U384" s="848"/>
      <c r="V384" s="610" t="s">
        <v>624</v>
      </c>
      <c r="W384" s="610"/>
      <c r="X384" s="610"/>
      <c r="Y384" s="610"/>
      <c r="Z384" s="610"/>
      <c r="AA384" s="610"/>
      <c r="AB384" s="610"/>
      <c r="AC384" s="610"/>
      <c r="AD384" s="610"/>
      <c r="AE384" s="610"/>
      <c r="AF384" s="610"/>
      <c r="AG384" s="610"/>
      <c r="AH384" s="610"/>
      <c r="AI384" s="610"/>
      <c r="AJ384" s="610"/>
      <c r="AK384" s="610"/>
      <c r="AL384" s="610"/>
    </row>
    <row r="385" spans="1:53" ht="13.5" customHeight="1">
      <c r="A385" s="6"/>
      <c r="B385" s="610"/>
      <c r="C385" s="610"/>
      <c r="D385" s="610"/>
      <c r="E385" s="652"/>
      <c r="F385" s="610"/>
      <c r="G385" s="652"/>
      <c r="H385" s="610"/>
      <c r="I385" s="610"/>
      <c r="J385" s="652"/>
      <c r="K385" s="611"/>
      <c r="L385" s="658"/>
      <c r="M385" s="656"/>
      <c r="N385" s="656"/>
      <c r="O385" s="611"/>
      <c r="P385" s="656"/>
      <c r="Q385" s="656"/>
      <c r="R385" s="611"/>
      <c r="S385" s="656"/>
      <c r="T385" s="611"/>
      <c r="U385" s="611"/>
      <c r="V385" s="610"/>
      <c r="W385" s="610"/>
      <c r="X385" s="610"/>
      <c r="Y385" s="610"/>
      <c r="Z385" s="610"/>
      <c r="AA385" s="610"/>
      <c r="AB385" s="610"/>
      <c r="AC385" s="610"/>
      <c r="AD385" s="610"/>
      <c r="AE385" s="610"/>
      <c r="AF385" s="610"/>
      <c r="AG385" s="610"/>
      <c r="AH385" s="610"/>
      <c r="AI385" s="610"/>
      <c r="AJ385" s="610"/>
      <c r="AK385" s="610"/>
      <c r="AL385" s="610"/>
    </row>
    <row r="386" spans="1:53" ht="19.5" customHeight="1">
      <c r="A386" s="6"/>
      <c r="B386" s="610"/>
      <c r="C386" s="610"/>
      <c r="D386" s="610"/>
      <c r="E386" s="652" t="s">
        <v>691</v>
      </c>
      <c r="F386" s="610"/>
      <c r="G386" s="610" t="s">
        <v>601</v>
      </c>
      <c r="H386" s="652" t="s">
        <v>687</v>
      </c>
      <c r="I386" s="610" t="s">
        <v>692</v>
      </c>
      <c r="J386" s="610" t="s">
        <v>693</v>
      </c>
      <c r="K386" s="610" t="s">
        <v>601</v>
      </c>
      <c r="L386" s="988">
        <f>S384</f>
        <v>5.9820610720286895</v>
      </c>
      <c r="M386" s="848"/>
      <c r="N386" s="848"/>
      <c r="O386" s="610" t="s">
        <v>692</v>
      </c>
      <c r="P386" s="610">
        <v>3</v>
      </c>
      <c r="Q386" s="610"/>
      <c r="R386" s="610" t="s">
        <v>601</v>
      </c>
      <c r="S386" s="989">
        <f>ROUND(L386/P386,1)</f>
        <v>2</v>
      </c>
      <c r="T386" s="990"/>
      <c r="U386" s="990"/>
      <c r="V386" s="610" t="s">
        <v>624</v>
      </c>
      <c r="W386" s="610"/>
      <c r="X386" s="610"/>
      <c r="Y386" s="610"/>
      <c r="Z386" s="610"/>
      <c r="AA386" s="610"/>
      <c r="AB386" s="239"/>
    </row>
    <row r="387" spans="1:53" ht="19.5" customHeight="1">
      <c r="A387" s="6"/>
      <c r="B387" s="77"/>
      <c r="C387" s="76"/>
      <c r="D387" s="76"/>
      <c r="E387" s="76"/>
      <c r="F387" s="219"/>
      <c r="G387" s="219"/>
      <c r="H387" s="76"/>
      <c r="I387" s="222"/>
      <c r="J387" s="222"/>
      <c r="K387" s="222"/>
      <c r="L387" s="76"/>
      <c r="M387" s="76"/>
      <c r="N387" s="76"/>
      <c r="O387" s="76"/>
      <c r="P387" s="76"/>
      <c r="Q387" s="76"/>
      <c r="R387" s="76"/>
      <c r="S387" s="76"/>
      <c r="T387" s="221"/>
      <c r="U387" s="76"/>
      <c r="V387" s="76"/>
      <c r="W387" s="76"/>
      <c r="X387" s="76"/>
      <c r="Y387" s="76"/>
      <c r="Z387" s="77"/>
      <c r="AA387" s="77"/>
      <c r="AB387" s="239"/>
    </row>
    <row r="388" spans="1:53" ht="19.5" customHeight="1">
      <c r="A388" s="6"/>
      <c r="B388" s="77"/>
      <c r="C388" s="76"/>
      <c r="D388" s="76"/>
      <c r="E388" s="76"/>
      <c r="F388" s="219"/>
      <c r="G388" s="219"/>
      <c r="H388" s="76"/>
      <c r="I388" s="222"/>
      <c r="J388" s="222"/>
      <c r="K388" s="222"/>
      <c r="L388" s="76"/>
      <c r="M388" s="76"/>
      <c r="N388" s="76"/>
      <c r="O388" s="76"/>
      <c r="P388" s="76"/>
      <c r="Q388" s="76"/>
      <c r="R388" s="76"/>
      <c r="S388" s="76"/>
      <c r="T388" s="221"/>
      <c r="U388" s="76"/>
      <c r="V388" s="76"/>
      <c r="W388" s="76"/>
      <c r="X388" s="76"/>
      <c r="Y388" s="76"/>
      <c r="Z388" s="77"/>
      <c r="AA388" s="77"/>
      <c r="AB388" s="239"/>
    </row>
    <row r="389" spans="1:53" ht="19.5" customHeight="1" thickBot="1">
      <c r="A389" s="6"/>
      <c r="B389" s="77"/>
      <c r="C389" s="76"/>
      <c r="D389" s="76"/>
      <c r="E389" s="76"/>
      <c r="F389" s="219"/>
      <c r="G389" s="219"/>
      <c r="H389" s="76"/>
      <c r="I389" s="222"/>
      <c r="J389" s="222"/>
      <c r="K389" s="222"/>
      <c r="L389" s="76"/>
      <c r="M389" s="76"/>
      <c r="N389" s="76"/>
      <c r="O389" s="76"/>
      <c r="P389" s="76"/>
      <c r="Q389" s="76"/>
      <c r="R389" s="76"/>
      <c r="S389" s="76"/>
      <c r="T389" s="221"/>
      <c r="U389" s="76"/>
      <c r="V389" s="76"/>
      <c r="W389" s="76"/>
      <c r="X389" s="76"/>
      <c r="Y389" s="76"/>
      <c r="Z389" s="77"/>
      <c r="AA389" s="77"/>
      <c r="AB389" s="239"/>
    </row>
    <row r="390" spans="1:53" ht="21.75" customHeight="1" thickBot="1">
      <c r="A390" s="6"/>
      <c r="B390" s="700" t="s">
        <v>697</v>
      </c>
      <c r="C390" s="701"/>
      <c r="D390" s="701"/>
      <c r="E390" s="702"/>
      <c r="F390" s="703"/>
      <c r="G390" s="703"/>
      <c r="H390" s="703"/>
      <c r="I390" s="704"/>
      <c r="J390" s="705"/>
      <c r="K390" s="705"/>
      <c r="L390" s="704"/>
      <c r="M390" s="703"/>
      <c r="N390" s="703"/>
      <c r="O390" s="703"/>
      <c r="P390" s="704"/>
      <c r="Q390" s="704"/>
      <c r="R390" s="704"/>
      <c r="S390" s="704"/>
      <c r="T390" s="704"/>
      <c r="U390" s="704"/>
      <c r="V390" s="704"/>
      <c r="W390" s="704"/>
      <c r="X390" s="704"/>
      <c r="Y390" s="704"/>
      <c r="Z390" s="77"/>
      <c r="AA390" s="77"/>
      <c r="AB390" s="77"/>
    </row>
    <row r="391" spans="1:53" ht="21.75" customHeight="1">
      <c r="A391" s="6"/>
      <c r="B391" s="74"/>
      <c r="C391" s="74"/>
      <c r="D391" s="74"/>
      <c r="E391" s="73"/>
      <c r="F391" s="221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7"/>
      <c r="AA391" s="77"/>
      <c r="AB391" s="77"/>
    </row>
    <row r="392" spans="1:53" ht="21.75" customHeight="1">
      <c r="A392" s="6"/>
      <c r="B392" s="991" t="s">
        <v>698</v>
      </c>
      <c r="C392" s="992"/>
      <c r="D392" s="992"/>
      <c r="E392" s="997" t="s">
        <v>699</v>
      </c>
      <c r="F392" s="997"/>
      <c r="G392" s="997"/>
      <c r="H392" s="997"/>
      <c r="I392" s="997"/>
      <c r="J392" s="997"/>
      <c r="K392" s="997"/>
      <c r="L392" s="997"/>
      <c r="M392" s="997"/>
      <c r="N392" s="992" t="s">
        <v>700</v>
      </c>
      <c r="O392" s="992"/>
      <c r="P392" s="992"/>
      <c r="Q392" s="992" t="s">
        <v>701</v>
      </c>
      <c r="R392" s="992"/>
      <c r="S392" s="992"/>
      <c r="T392" s="992" t="s">
        <v>861</v>
      </c>
      <c r="U392" s="992"/>
      <c r="V392" s="992"/>
      <c r="W392" s="992" t="s">
        <v>702</v>
      </c>
      <c r="X392" s="992"/>
      <c r="Y392" s="995"/>
      <c r="Z392" s="77"/>
      <c r="AA392" s="77"/>
      <c r="AB392" s="77"/>
    </row>
    <row r="393" spans="1:53" ht="25.5" customHeight="1" thickBot="1">
      <c r="A393" s="6"/>
      <c r="B393" s="993"/>
      <c r="C393" s="994"/>
      <c r="D393" s="994"/>
      <c r="E393" s="902" t="s">
        <v>703</v>
      </c>
      <c r="F393" s="902"/>
      <c r="G393" s="902"/>
      <c r="H393" s="902" t="s">
        <v>704</v>
      </c>
      <c r="I393" s="902"/>
      <c r="J393" s="902"/>
      <c r="K393" s="994" t="s">
        <v>811</v>
      </c>
      <c r="L393" s="994"/>
      <c r="M393" s="994"/>
      <c r="N393" s="994"/>
      <c r="O393" s="994"/>
      <c r="P393" s="994"/>
      <c r="Q393" s="994"/>
      <c r="R393" s="994"/>
      <c r="S393" s="994"/>
      <c r="T393" s="994"/>
      <c r="U393" s="994"/>
      <c r="V393" s="994"/>
      <c r="W393" s="994"/>
      <c r="X393" s="994"/>
      <c r="Y393" s="996"/>
      <c r="Z393" s="77"/>
      <c r="AA393" s="77"/>
      <c r="AB393" s="214"/>
    </row>
    <row r="394" spans="1:53" ht="21.75" customHeight="1" thickTop="1">
      <c r="A394" s="224"/>
      <c r="B394" s="982" t="s">
        <v>705</v>
      </c>
      <c r="C394" s="983"/>
      <c r="D394" s="983"/>
      <c r="E394" s="984">
        <f>+M253</f>
        <v>90.9</v>
      </c>
      <c r="F394" s="984"/>
      <c r="G394" s="984"/>
      <c r="H394" s="984">
        <f>+N289</f>
        <v>90.8</v>
      </c>
      <c r="I394" s="984"/>
      <c r="J394" s="984"/>
      <c r="K394" s="984">
        <f>+M330</f>
        <v>194</v>
      </c>
      <c r="L394" s="984"/>
      <c r="M394" s="984"/>
      <c r="N394" s="984">
        <f>+S386</f>
        <v>2</v>
      </c>
      <c r="O394" s="984"/>
      <c r="P394" s="984"/>
      <c r="Q394" s="983">
        <f>MIN(E394:M394)+N394</f>
        <v>92.8</v>
      </c>
      <c r="R394" s="983"/>
      <c r="S394" s="983"/>
      <c r="T394" s="983">
        <f>+X97</f>
        <v>61.5</v>
      </c>
      <c r="U394" s="983"/>
      <c r="V394" s="983"/>
      <c r="W394" s="983" t="str">
        <f>IF(Q394&lt;T394, "불 안 정", "안     정")</f>
        <v>안     정</v>
      </c>
      <c r="X394" s="983"/>
      <c r="Y394" s="985"/>
      <c r="Z394" s="85"/>
      <c r="AA394" s="85"/>
      <c r="AB394" s="77"/>
    </row>
    <row r="395" spans="1:53" ht="21.75" customHeight="1">
      <c r="A395" s="224"/>
      <c r="B395" s="94"/>
      <c r="C395" s="94"/>
      <c r="D395" s="94"/>
      <c r="E395" s="225"/>
      <c r="F395" s="226"/>
      <c r="G395" s="226"/>
      <c r="H395" s="227"/>
      <c r="I395" s="227"/>
      <c r="J395" s="227"/>
      <c r="K395" s="225"/>
      <c r="L395" s="225"/>
      <c r="M395" s="225"/>
      <c r="N395" s="225"/>
      <c r="O395" s="225"/>
      <c r="P395" s="225"/>
      <c r="Q395" s="22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77"/>
    </row>
    <row r="396" spans="1:53" ht="21.75" customHeight="1">
      <c r="A396" s="224"/>
      <c r="B396" s="94"/>
      <c r="C396" s="228"/>
      <c r="D396" s="228"/>
      <c r="E396" s="228"/>
      <c r="F396" s="228"/>
      <c r="G396" s="229"/>
      <c r="H396" s="230"/>
      <c r="I396" s="230"/>
      <c r="J396" s="230"/>
      <c r="K396" s="231"/>
      <c r="L396" s="232"/>
      <c r="M396" s="232"/>
      <c r="N396" s="228"/>
      <c r="O396" s="233"/>
      <c r="P396" s="233"/>
      <c r="Q396" s="233"/>
      <c r="R396" s="234"/>
      <c r="S396" s="234"/>
      <c r="T396" s="235"/>
      <c r="U396" s="235"/>
      <c r="V396" s="235"/>
      <c r="W396" s="85"/>
      <c r="X396" s="85"/>
      <c r="Y396" s="85"/>
      <c r="Z396" s="85"/>
      <c r="AA396" s="85"/>
      <c r="AB396" s="77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</row>
    <row r="397" spans="1:53" ht="21.75" customHeight="1">
      <c r="A397" s="130"/>
      <c r="B397" s="1314" t="s">
        <v>863</v>
      </c>
      <c r="C397" s="1314"/>
      <c r="D397" s="1314"/>
      <c r="E397" s="1314"/>
      <c r="F397" s="1314"/>
      <c r="G397" s="1314"/>
      <c r="H397" s="1314"/>
      <c r="I397" s="1314"/>
      <c r="J397" s="1314"/>
      <c r="K397" s="1314"/>
      <c r="L397" s="1314"/>
      <c r="M397" s="1314"/>
      <c r="N397" s="1314"/>
      <c r="O397" s="1314"/>
      <c r="P397" s="1314"/>
      <c r="Q397" s="1314"/>
      <c r="R397" s="1314"/>
      <c r="S397" s="1315">
        <f>+Q394</f>
        <v>92.8</v>
      </c>
      <c r="T397" s="1315"/>
      <c r="U397" s="1315"/>
      <c r="V397" s="1315"/>
      <c r="W397" s="1315"/>
      <c r="X397" s="1315"/>
      <c r="Y397" s="1315"/>
      <c r="Z397" s="1315"/>
      <c r="AA397" s="236"/>
      <c r="AB397" s="77"/>
      <c r="AD397" s="11"/>
      <c r="AE397" s="12"/>
      <c r="AF397" s="13"/>
      <c r="AG397" s="13"/>
      <c r="AT397" s="13"/>
    </row>
    <row r="398" spans="1:53" ht="21.75" customHeight="1">
      <c r="A398" s="130"/>
      <c r="B398" s="1316" t="s">
        <v>862</v>
      </c>
      <c r="C398" s="1316"/>
      <c r="D398" s="1316"/>
      <c r="E398" s="1316"/>
      <c r="F398" s="1316"/>
      <c r="G398" s="1316"/>
      <c r="H398" s="1316"/>
      <c r="I398" s="1316"/>
      <c r="J398" s="1316"/>
      <c r="K398" s="1316"/>
      <c r="L398" s="1316"/>
      <c r="M398" s="1316"/>
      <c r="N398" s="1316"/>
      <c r="O398" s="1316"/>
      <c r="P398" s="1316"/>
      <c r="Q398" s="1316"/>
      <c r="R398" s="1316"/>
      <c r="S398" s="1317">
        <f>+X97</f>
        <v>61.5</v>
      </c>
      <c r="T398" s="1317"/>
      <c r="U398" s="1317"/>
      <c r="V398" s="1317"/>
      <c r="W398" s="1317"/>
      <c r="X398" s="1317"/>
      <c r="Y398" s="1317"/>
      <c r="Z398" s="1317"/>
      <c r="AA398" s="237"/>
      <c r="AB398" s="77"/>
      <c r="AD398" s="11"/>
      <c r="AE398" s="12"/>
      <c r="AF398" s="13"/>
      <c r="AG398" s="13"/>
      <c r="AS398" s="14"/>
      <c r="AT398" s="13"/>
    </row>
    <row r="399" spans="1:53" ht="21.75" customHeight="1">
      <c r="A399" s="130"/>
      <c r="B399" s="1318" t="s">
        <v>864</v>
      </c>
      <c r="C399" s="1318"/>
      <c r="D399" s="1318"/>
      <c r="E399" s="1318"/>
      <c r="F399" s="1318"/>
      <c r="G399" s="1318"/>
      <c r="H399" s="1318"/>
      <c r="I399" s="1318"/>
      <c r="J399" s="1318"/>
      <c r="K399" s="1318"/>
      <c r="L399" s="1318"/>
      <c r="M399" s="1318"/>
      <c r="N399" s="1318"/>
      <c r="O399" s="1318"/>
      <c r="P399" s="1318"/>
      <c r="Q399" s="1318"/>
      <c r="R399" s="1318"/>
      <c r="S399" s="1318" t="str">
        <f>IF(S397 &gt;= S398, "O.K", "N.G")</f>
        <v>O.K</v>
      </c>
      <c r="T399" s="1318"/>
      <c r="U399" s="1318"/>
      <c r="V399" s="1318"/>
      <c r="W399" s="1318"/>
      <c r="X399" s="1318"/>
      <c r="Y399" s="1318"/>
      <c r="Z399" s="1318"/>
      <c r="AA399" s="238"/>
      <c r="AB399" s="77"/>
      <c r="AD399" s="11"/>
      <c r="AE399" s="12"/>
      <c r="AF399" s="13"/>
      <c r="AG399" s="13"/>
      <c r="AS399" s="14"/>
      <c r="AT399" s="13"/>
    </row>
    <row r="400" spans="1:53" ht="16.5" customHeight="1">
      <c r="A400" s="130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77"/>
      <c r="AD400" s="11"/>
      <c r="AE400" s="12"/>
      <c r="AF400" s="13"/>
      <c r="AG400" s="13"/>
      <c r="AS400" s="14"/>
      <c r="AT400" s="13"/>
      <c r="AU400" s="241"/>
      <c r="AV400" s="241"/>
      <c r="AX400" s="3"/>
      <c r="AY400" s="3"/>
      <c r="AZ400" s="5"/>
      <c r="BA400" s="5"/>
    </row>
    <row r="401" spans="1:62" ht="16.5" customHeight="1">
      <c r="A401" s="224"/>
      <c r="B401" s="94"/>
      <c r="C401" s="228"/>
      <c r="D401" s="228"/>
      <c r="E401" s="228"/>
      <c r="F401" s="228"/>
      <c r="G401" s="229"/>
      <c r="H401" s="230"/>
      <c r="I401" s="230"/>
      <c r="J401" s="230"/>
      <c r="K401" s="231"/>
      <c r="L401" s="232"/>
      <c r="M401" s="232"/>
      <c r="N401" s="228"/>
      <c r="O401" s="233"/>
      <c r="P401" s="233"/>
      <c r="Q401" s="233"/>
      <c r="R401" s="234"/>
      <c r="S401" s="234"/>
      <c r="T401" s="235"/>
      <c r="U401" s="235"/>
      <c r="V401" s="235"/>
      <c r="W401" s="85"/>
      <c r="X401" s="85"/>
      <c r="Y401" s="85"/>
      <c r="Z401" s="85"/>
      <c r="AA401" s="85"/>
      <c r="AB401" s="85"/>
      <c r="AD401" s="499"/>
      <c r="AE401" s="500"/>
      <c r="AF401" s="501"/>
      <c r="AG401" s="501"/>
      <c r="AH401" s="452"/>
      <c r="AI401" s="452"/>
      <c r="AJ401" s="452"/>
      <c r="AS401" s="14"/>
      <c r="AT401" s="13"/>
      <c r="AU401" s="13"/>
      <c r="AV401" s="13"/>
      <c r="AW401" s="13"/>
      <c r="AX401" s="15"/>
      <c r="AY401" s="16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</row>
    <row r="402" spans="1:62" ht="16.5" customHeight="1">
      <c r="A402" s="224"/>
      <c r="B402" s="94"/>
      <c r="C402" s="228"/>
      <c r="D402" s="228"/>
      <c r="E402" s="228"/>
      <c r="F402" s="228"/>
      <c r="G402" s="229"/>
      <c r="H402" s="230"/>
      <c r="I402" s="230"/>
      <c r="J402" s="230"/>
      <c r="K402" s="231"/>
      <c r="L402" s="232"/>
      <c r="M402" s="232"/>
      <c r="N402" s="228"/>
      <c r="O402" s="233"/>
      <c r="P402" s="233"/>
      <c r="Q402" s="233"/>
      <c r="R402" s="234"/>
      <c r="S402" s="234"/>
      <c r="T402" s="235"/>
      <c r="U402" s="235"/>
      <c r="V402" s="235"/>
      <c r="W402" s="85"/>
      <c r="X402" s="85"/>
      <c r="Y402" s="85"/>
      <c r="Z402" s="85"/>
      <c r="AA402" s="85"/>
      <c r="AB402" s="85"/>
      <c r="AD402" s="499"/>
      <c r="AE402" s="500"/>
      <c r="AF402" s="501"/>
      <c r="AG402" s="501"/>
      <c r="AH402" s="452"/>
      <c r="AI402" s="452"/>
      <c r="AJ402" s="452"/>
      <c r="AS402" s="14"/>
      <c r="AT402" s="13"/>
      <c r="AU402" s="13"/>
      <c r="AV402" s="13"/>
      <c r="AW402" s="13"/>
      <c r="AX402" s="15"/>
      <c r="AY402" s="16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</row>
    <row r="403" spans="1:62" ht="16.5" customHeight="1">
      <c r="A403" s="224"/>
      <c r="B403" s="245" t="s">
        <v>261</v>
      </c>
      <c r="C403" s="228"/>
      <c r="D403" s="228"/>
      <c r="E403" s="228"/>
      <c r="F403" s="228"/>
      <c r="G403" s="229"/>
      <c r="H403" s="230"/>
      <c r="I403" s="230"/>
      <c r="J403" s="230"/>
      <c r="K403" s="231"/>
      <c r="L403" s="232"/>
      <c r="M403" s="232"/>
      <c r="N403" s="228"/>
      <c r="O403" s="233"/>
      <c r="P403" s="233"/>
      <c r="Q403" s="233"/>
      <c r="R403" s="234"/>
      <c r="S403" s="234"/>
      <c r="T403" s="235"/>
      <c r="U403" s="235"/>
      <c r="V403" s="235"/>
      <c r="W403" s="85"/>
      <c r="X403" s="85"/>
      <c r="Y403" s="85"/>
      <c r="Z403" s="85"/>
      <c r="AA403" s="85"/>
      <c r="AB403" s="85"/>
      <c r="AD403" s="499"/>
      <c r="AE403" s="500"/>
      <c r="AF403" s="501"/>
      <c r="AG403" s="501"/>
      <c r="AH403" s="452"/>
      <c r="AI403" s="452"/>
      <c r="AJ403" s="452"/>
      <c r="AS403" s="14"/>
      <c r="AT403" s="13"/>
      <c r="AU403" s="13"/>
      <c r="AV403" s="13"/>
      <c r="AW403" s="13"/>
      <c r="AX403" s="15"/>
      <c r="AY403" s="16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</row>
    <row r="404" spans="1:62" ht="16.5" customHeight="1">
      <c r="A404" s="224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D404" s="499"/>
      <c r="AE404" s="500"/>
      <c r="AF404" s="501"/>
      <c r="AG404" s="501"/>
      <c r="AH404" s="452"/>
      <c r="AI404" s="452"/>
      <c r="AJ404" s="452"/>
      <c r="AS404" s="14"/>
      <c r="AT404" s="13"/>
      <c r="AU404" s="13"/>
      <c r="AV404" s="13"/>
      <c r="AW404" s="13"/>
      <c r="AX404" s="15"/>
      <c r="AY404" s="16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</row>
    <row r="405" spans="1:62" ht="22.5" customHeight="1">
      <c r="A405" s="246"/>
      <c r="B405" s="641" t="s">
        <v>706</v>
      </c>
      <c r="C405" s="132"/>
      <c r="D405" s="132"/>
      <c r="E405" s="132"/>
      <c r="F405" s="132"/>
      <c r="G405" s="132"/>
      <c r="H405" s="132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85"/>
      <c r="AA405" s="85"/>
      <c r="AB405" s="85"/>
      <c r="AD405" s="499"/>
      <c r="AE405" s="500"/>
      <c r="AF405" s="501"/>
      <c r="AG405" s="501"/>
      <c r="AH405" s="452"/>
      <c r="AI405" s="452"/>
      <c r="AJ405" s="452"/>
      <c r="AS405" s="14"/>
      <c r="AT405" s="13"/>
      <c r="AU405" s="13"/>
      <c r="AV405" s="13"/>
      <c r="AW405" s="13"/>
      <c r="AX405" s="15"/>
      <c r="AY405" s="16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</row>
    <row r="406" spans="1:62" ht="22.5" customHeight="1">
      <c r="A406" s="246"/>
      <c r="B406" s="132"/>
      <c r="C406" s="132"/>
      <c r="D406" s="132"/>
      <c r="E406" s="132"/>
      <c r="F406" s="132"/>
      <c r="G406" s="132"/>
      <c r="H406" s="132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85"/>
      <c r="AA406" s="85"/>
      <c r="AB406" s="85"/>
      <c r="AD406" s="499"/>
      <c r="AE406" s="500"/>
      <c r="AF406" s="501"/>
      <c r="AG406" s="501"/>
      <c r="AH406" s="452"/>
      <c r="AI406" s="452"/>
      <c r="AJ406" s="452"/>
      <c r="AS406" s="14"/>
      <c r="AT406" s="13"/>
      <c r="AU406" s="13"/>
      <c r="AV406" s="13"/>
      <c r="AW406" s="13"/>
      <c r="AX406" s="15"/>
      <c r="AY406" s="16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</row>
    <row r="407" spans="1:62" ht="22.5" customHeight="1">
      <c r="A407" s="130"/>
      <c r="B407" s="85"/>
      <c r="C407" s="77"/>
      <c r="D407" s="611" t="s">
        <v>707</v>
      </c>
      <c r="E407" s="611" t="s">
        <v>238</v>
      </c>
      <c r="F407" s="643" t="s">
        <v>708</v>
      </c>
      <c r="G407" s="643"/>
      <c r="H407" s="643"/>
      <c r="I407" s="643"/>
      <c r="J407" s="643"/>
      <c r="K407" s="643"/>
      <c r="L407" s="643"/>
      <c r="M407" s="643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85"/>
      <c r="AA407" s="85"/>
      <c r="AB407" s="85"/>
      <c r="AD407" s="499"/>
      <c r="AE407" s="500"/>
      <c r="AF407" s="501"/>
      <c r="AG407" s="501"/>
      <c r="AH407" s="452"/>
      <c r="AI407" s="452"/>
      <c r="AJ407" s="452"/>
      <c r="AS407" s="14"/>
      <c r="AT407" s="13"/>
      <c r="AU407" s="13"/>
      <c r="AV407" s="13"/>
      <c r="AW407" s="13"/>
      <c r="AX407" s="15"/>
      <c r="AY407" s="16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</row>
    <row r="408" spans="1:62" ht="22.5" customHeight="1">
      <c r="A408" s="130"/>
      <c r="B408" s="85"/>
      <c r="C408" s="77"/>
      <c r="D408" s="213"/>
      <c r="E408" s="213"/>
      <c r="F408" s="213"/>
      <c r="G408" s="213"/>
      <c r="H408" s="213"/>
      <c r="I408" s="213"/>
      <c r="J408" s="213"/>
      <c r="K408" s="213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85"/>
      <c r="AA408" s="85"/>
      <c r="AB408" s="85"/>
      <c r="AD408" s="452"/>
      <c r="AE408" s="502"/>
      <c r="AF408" s="501"/>
      <c r="AG408" s="501"/>
      <c r="AH408" s="452"/>
      <c r="AI408" s="452"/>
      <c r="AJ408" s="452"/>
      <c r="AS408" s="14"/>
      <c r="AT408" s="13"/>
      <c r="AU408" s="13"/>
      <c r="AV408" s="13"/>
      <c r="AW408" s="13"/>
      <c r="AX408" s="15"/>
      <c r="AY408" s="16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</row>
    <row r="409" spans="1:62" ht="22.5" customHeight="1">
      <c r="A409" s="130"/>
      <c r="B409" s="130"/>
      <c r="C409" s="213"/>
      <c r="D409" s="610" t="s">
        <v>674</v>
      </c>
      <c r="E409" s="610"/>
      <c r="F409" s="611" t="s">
        <v>709</v>
      </c>
      <c r="G409" s="610" t="s">
        <v>710</v>
      </c>
      <c r="H409" s="610"/>
      <c r="I409" s="610"/>
      <c r="J409" s="610"/>
      <c r="K409" s="610"/>
      <c r="L409" s="610"/>
      <c r="M409" s="610"/>
      <c r="N409" s="610"/>
      <c r="O409" s="610"/>
      <c r="P409" s="610"/>
      <c r="Q409" s="610"/>
      <c r="R409" s="610"/>
      <c r="S409" s="610"/>
      <c r="T409" s="610"/>
      <c r="U409" s="610"/>
      <c r="V409" s="610"/>
      <c r="W409" s="610"/>
      <c r="X409" s="610"/>
      <c r="Y409" s="610"/>
      <c r="Z409" s="610"/>
      <c r="AA409" s="85"/>
      <c r="AB409" s="236"/>
      <c r="AD409" s="499"/>
      <c r="AE409" s="500"/>
      <c r="AF409" s="501"/>
      <c r="AG409" s="501"/>
      <c r="AH409" s="452"/>
      <c r="AI409" s="452"/>
      <c r="AJ409" s="452"/>
      <c r="AS409" s="14"/>
      <c r="AT409" s="13"/>
      <c r="AU409" s="13"/>
      <c r="AV409" s="13"/>
      <c r="AW409" s="13"/>
      <c r="AX409" s="15"/>
      <c r="AY409" s="16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</row>
    <row r="410" spans="1:62" ht="22.5" customHeight="1">
      <c r="A410" s="130"/>
      <c r="B410" s="130"/>
      <c r="C410" s="213"/>
      <c r="D410" s="610"/>
      <c r="E410" s="610"/>
      <c r="F410" s="611" t="s">
        <v>711</v>
      </c>
      <c r="G410" s="610" t="s">
        <v>712</v>
      </c>
      <c r="H410" s="610"/>
      <c r="I410" s="610"/>
      <c r="J410" s="610"/>
      <c r="K410" s="610"/>
      <c r="L410" s="610"/>
      <c r="M410" s="610"/>
      <c r="N410" s="610"/>
      <c r="O410" s="610"/>
      <c r="P410" s="610"/>
      <c r="Q410" s="610"/>
      <c r="R410" s="610"/>
      <c r="S410" s="610"/>
      <c r="T410" s="610"/>
      <c r="U410" s="610"/>
      <c r="V410" s="610"/>
      <c r="W410" s="610"/>
      <c r="X410" s="610"/>
      <c r="Y410" s="610"/>
      <c r="Z410" s="610"/>
      <c r="AA410" s="85"/>
      <c r="AB410" s="237"/>
      <c r="AD410" s="499"/>
      <c r="AE410" s="500"/>
      <c r="AF410" s="501"/>
      <c r="AG410" s="501"/>
      <c r="AH410" s="452"/>
      <c r="AI410" s="452"/>
      <c r="AJ410" s="452"/>
      <c r="AS410" s="14"/>
      <c r="AT410" s="13"/>
      <c r="AU410" s="13"/>
      <c r="AV410" s="13"/>
      <c r="AW410" s="13"/>
      <c r="AX410" s="15"/>
      <c r="AY410" s="16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</row>
    <row r="411" spans="1:62" ht="22.5" customHeight="1">
      <c r="A411" s="130"/>
      <c r="B411" s="130"/>
      <c r="C411" s="77"/>
      <c r="D411" s="609"/>
      <c r="E411" s="610"/>
      <c r="F411" s="611" t="s">
        <v>713</v>
      </c>
      <c r="G411" s="610" t="s">
        <v>714</v>
      </c>
      <c r="H411" s="610"/>
      <c r="I411" s="610"/>
      <c r="J411" s="610"/>
      <c r="K411" s="610"/>
      <c r="L411" s="609"/>
      <c r="M411" s="610"/>
      <c r="N411" s="609"/>
      <c r="O411" s="610"/>
      <c r="P411" s="610"/>
      <c r="Q411" s="610"/>
      <c r="R411" s="610"/>
      <c r="S411" s="610"/>
      <c r="T411" s="610"/>
      <c r="U411" s="610"/>
      <c r="V411" s="610"/>
      <c r="W411" s="610"/>
      <c r="X411" s="610"/>
      <c r="Y411" s="610"/>
      <c r="Z411" s="610"/>
      <c r="AA411" s="85"/>
      <c r="AB411" s="237"/>
      <c r="AD411" s="499"/>
      <c r="AE411" s="500"/>
      <c r="AF411" s="501"/>
      <c r="AG411" s="501"/>
      <c r="AH411" s="452"/>
      <c r="AI411" s="452"/>
      <c r="AJ411" s="452"/>
      <c r="AS411" s="14"/>
      <c r="AT411" s="13"/>
      <c r="AU411" s="13"/>
      <c r="AV411" s="13"/>
      <c r="AW411" s="13"/>
      <c r="AX411" s="15"/>
      <c r="AY411" s="16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</row>
    <row r="412" spans="1:62" ht="22.5" customHeight="1">
      <c r="A412" s="130"/>
      <c r="B412" s="130"/>
      <c r="C412" s="77"/>
      <c r="D412" s="609"/>
      <c r="E412" s="610"/>
      <c r="F412" s="645" t="s">
        <v>715</v>
      </c>
      <c r="G412" s="664" t="s">
        <v>716</v>
      </c>
      <c r="H412" s="664"/>
      <c r="I412" s="610"/>
      <c r="J412" s="610"/>
      <c r="K412" s="610"/>
      <c r="L412" s="610"/>
      <c r="M412" s="610"/>
      <c r="N412" s="610"/>
      <c r="O412" s="610"/>
      <c r="P412" s="610"/>
      <c r="Q412" s="610"/>
      <c r="R412" s="610"/>
      <c r="S412" s="610"/>
      <c r="T412" s="610"/>
      <c r="U412" s="610"/>
      <c r="V412" s="610"/>
      <c r="W412" s="610"/>
      <c r="X412" s="610"/>
      <c r="Y412" s="610"/>
      <c r="Z412" s="610"/>
      <c r="AA412" s="85"/>
      <c r="AB412" s="237"/>
      <c r="AD412" s="499"/>
      <c r="AE412" s="500"/>
      <c r="AF412" s="501"/>
      <c r="AG412" s="501"/>
      <c r="AH412" s="452"/>
      <c r="AI412" s="452"/>
      <c r="AJ412" s="452"/>
      <c r="AS412" s="14"/>
      <c r="AT412" s="13"/>
      <c r="AU412" s="13"/>
      <c r="AV412" s="13"/>
      <c r="AW412" s="13"/>
      <c r="AX412" s="15"/>
      <c r="AY412" s="16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</row>
    <row r="413" spans="1:62" ht="22.5" customHeight="1">
      <c r="A413" s="130"/>
      <c r="B413" s="130"/>
      <c r="C413" s="77"/>
      <c r="D413" s="609"/>
      <c r="E413" s="610"/>
      <c r="F413" s="611" t="s">
        <v>717</v>
      </c>
      <c r="G413" s="610" t="s">
        <v>718</v>
      </c>
      <c r="H413" s="610"/>
      <c r="I413" s="610"/>
      <c r="J413" s="610"/>
      <c r="K413" s="610"/>
      <c r="L413" s="610"/>
      <c r="M413" s="610"/>
      <c r="N413" s="610"/>
      <c r="O413" s="610"/>
      <c r="P413" s="645"/>
      <c r="Q413" s="664"/>
      <c r="R413" s="609"/>
      <c r="S413" s="610"/>
      <c r="T413" s="610"/>
      <c r="U413" s="610"/>
      <c r="V413" s="610"/>
      <c r="W413" s="610"/>
      <c r="X413" s="610"/>
      <c r="Y413" s="610"/>
      <c r="Z413" s="610"/>
      <c r="AA413" s="85"/>
      <c r="AB413" s="237"/>
      <c r="AD413" s="499"/>
      <c r="AE413" s="500"/>
      <c r="AF413" s="501"/>
      <c r="AG413" s="501"/>
      <c r="AH413" s="452"/>
      <c r="AI413" s="452"/>
      <c r="AJ413" s="452"/>
      <c r="AS413" s="14"/>
      <c r="AT413" s="13"/>
      <c r="AU413" s="13"/>
      <c r="AV413" s="13"/>
      <c r="AW413" s="13"/>
      <c r="AX413" s="15"/>
      <c r="AY413" s="16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</row>
    <row r="414" spans="1:62" ht="22.5" customHeight="1">
      <c r="A414" s="130"/>
      <c r="B414" s="130"/>
      <c r="C414" s="77"/>
      <c r="D414" s="609"/>
      <c r="E414" s="610"/>
      <c r="F414" s="645" t="s">
        <v>719</v>
      </c>
      <c r="G414" s="664" t="s">
        <v>720</v>
      </c>
      <c r="H414" s="609"/>
      <c r="I414" s="610"/>
      <c r="J414" s="610"/>
      <c r="K414" s="610"/>
      <c r="L414" s="610"/>
      <c r="M414" s="610"/>
      <c r="N414" s="610"/>
      <c r="O414" s="610"/>
      <c r="P414" s="645"/>
      <c r="Q414" s="664"/>
      <c r="R414" s="609"/>
      <c r="S414" s="610"/>
      <c r="T414" s="610"/>
      <c r="U414" s="610"/>
      <c r="V414" s="610"/>
      <c r="W414" s="610"/>
      <c r="X414" s="610"/>
      <c r="Y414" s="610"/>
      <c r="Z414" s="610"/>
      <c r="AA414" s="85"/>
      <c r="AB414" s="237"/>
      <c r="AD414" s="499"/>
      <c r="AE414" s="500"/>
      <c r="AF414" s="501"/>
      <c r="AG414" s="501"/>
      <c r="AH414" s="452"/>
      <c r="AI414" s="452"/>
      <c r="AJ414" s="452"/>
      <c r="AS414" s="14"/>
      <c r="AT414" s="13"/>
      <c r="AU414" s="13"/>
      <c r="AV414" s="13"/>
      <c r="AW414" s="13"/>
      <c r="AX414" s="15"/>
      <c r="AY414" s="16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</row>
    <row r="415" spans="1:62" ht="22.5" customHeight="1">
      <c r="A415" s="130"/>
      <c r="B415" s="130"/>
      <c r="C415" s="77"/>
      <c r="D415" s="646" t="s">
        <v>761</v>
      </c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0"/>
      <c r="P415" s="610"/>
      <c r="Q415" s="610"/>
      <c r="R415" s="610"/>
      <c r="S415" s="610"/>
      <c r="T415" s="610"/>
      <c r="U415" s="610"/>
      <c r="V415" s="610"/>
      <c r="W415" s="610"/>
      <c r="X415" s="610"/>
      <c r="Y415" s="610"/>
      <c r="Z415" s="610"/>
      <c r="AA415" s="85"/>
      <c r="AB415" s="238"/>
      <c r="AD415" s="499"/>
      <c r="AE415" s="500"/>
      <c r="AF415" s="501"/>
      <c r="AG415" s="501"/>
      <c r="AH415" s="452"/>
      <c r="AI415" s="452"/>
      <c r="AJ415" s="452"/>
      <c r="AS415" s="14"/>
      <c r="AT415" s="13"/>
      <c r="AU415" s="13"/>
      <c r="AV415" s="13"/>
      <c r="AW415" s="13"/>
      <c r="AX415" s="15"/>
      <c r="AY415" s="16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</row>
    <row r="416" spans="1:62" ht="22.5" customHeight="1">
      <c r="A416" s="130"/>
      <c r="B416" s="130"/>
      <c r="C416" s="77"/>
      <c r="D416" s="611"/>
      <c r="E416" s="610" t="s">
        <v>762</v>
      </c>
      <c r="F416" s="611" t="s">
        <v>601</v>
      </c>
      <c r="G416" s="610" t="s">
        <v>763</v>
      </c>
      <c r="H416" s="673"/>
      <c r="I416" s="673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710"/>
      <c r="U416" s="672"/>
      <c r="V416" s="672"/>
      <c r="W416" s="611"/>
      <c r="X416" s="673"/>
      <c r="Y416" s="673"/>
      <c r="Z416" s="610"/>
      <c r="AA416" s="85"/>
      <c r="AB416" s="239"/>
      <c r="AD416" s="11"/>
      <c r="AE416" s="12"/>
      <c r="AF416" s="13"/>
      <c r="AG416" s="13"/>
      <c r="AS416" s="14"/>
      <c r="AT416" s="13"/>
      <c r="AU416" s="13"/>
      <c r="AV416" s="13"/>
      <c r="AW416" s="13"/>
      <c r="AX416" s="15"/>
      <c r="AY416" s="16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</row>
    <row r="417" spans="1:62" ht="22.5" customHeight="1">
      <c r="A417" s="130"/>
      <c r="B417" s="130"/>
      <c r="C417" s="77"/>
      <c r="D417" s="611"/>
      <c r="E417" s="610" t="s">
        <v>762</v>
      </c>
      <c r="F417" s="611" t="s">
        <v>601</v>
      </c>
      <c r="G417" s="610" t="s">
        <v>764</v>
      </c>
      <c r="H417" s="673"/>
      <c r="I417" s="673"/>
      <c r="J417" s="610"/>
      <c r="K417" s="610"/>
      <c r="L417" s="610"/>
      <c r="M417" s="610"/>
      <c r="N417" s="610"/>
      <c r="O417" s="610"/>
      <c r="P417" s="610"/>
      <c r="Q417" s="610"/>
      <c r="R417" s="610"/>
      <c r="S417" s="610"/>
      <c r="T417" s="710"/>
      <c r="U417" s="610"/>
      <c r="V417" s="610"/>
      <c r="W417" s="611"/>
      <c r="X417" s="673"/>
      <c r="Y417" s="673"/>
      <c r="Z417" s="610"/>
      <c r="AA417" s="85"/>
      <c r="AB417" s="85"/>
      <c r="AD417" s="11"/>
      <c r="AE417" s="12"/>
      <c r="AF417" s="13"/>
      <c r="AG417" s="13"/>
      <c r="AS417" s="14"/>
      <c r="AT417" s="13"/>
      <c r="AU417" s="13"/>
      <c r="AV417" s="13"/>
      <c r="AW417" s="13"/>
      <c r="AX417" s="15"/>
      <c r="AY417" s="16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</row>
    <row r="418" spans="1:62" ht="22.5" customHeight="1">
      <c r="A418" s="130"/>
      <c r="B418" s="130"/>
      <c r="C418" s="77"/>
      <c r="D418" s="611"/>
      <c r="E418" s="610" t="s">
        <v>762</v>
      </c>
      <c r="F418" s="611" t="s">
        <v>601</v>
      </c>
      <c r="G418" s="610" t="s">
        <v>765</v>
      </c>
      <c r="H418" s="610"/>
      <c r="I418" s="610"/>
      <c r="J418" s="610"/>
      <c r="K418" s="610"/>
      <c r="L418" s="610"/>
      <c r="M418" s="611"/>
      <c r="N418" s="664"/>
      <c r="O418" s="664"/>
      <c r="P418" s="664"/>
      <c r="Q418" s="610"/>
      <c r="R418" s="610"/>
      <c r="S418" s="610"/>
      <c r="T418" s="610"/>
      <c r="U418" s="671"/>
      <c r="V418" s="671"/>
      <c r="W418" s="671"/>
      <c r="X418" s="610"/>
      <c r="Y418" s="610"/>
      <c r="Z418" s="610"/>
      <c r="AA418" s="85"/>
      <c r="AB418" s="85"/>
      <c r="AD418" s="11"/>
      <c r="AE418" s="12"/>
      <c r="AF418" s="13"/>
      <c r="AG418" s="13"/>
      <c r="AS418" s="14"/>
      <c r="AT418" s="13"/>
      <c r="AU418" s="13"/>
      <c r="AV418" s="13"/>
      <c r="AW418" s="13"/>
      <c r="AX418" s="15"/>
      <c r="AY418" s="16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</row>
    <row r="419" spans="1:62" ht="22.5" customHeight="1">
      <c r="A419" s="130"/>
      <c r="B419" s="130"/>
      <c r="C419" s="77"/>
      <c r="D419" s="610"/>
      <c r="E419" s="643" t="s">
        <v>657</v>
      </c>
      <c r="F419" s="610"/>
      <c r="G419" s="610" t="s">
        <v>766</v>
      </c>
      <c r="H419" s="610"/>
      <c r="I419" s="610"/>
      <c r="J419" s="610"/>
      <c r="K419" s="610"/>
      <c r="L419" s="610"/>
      <c r="M419" s="611" t="s">
        <v>767</v>
      </c>
      <c r="N419" s="611" t="s">
        <v>601</v>
      </c>
      <c r="O419" s="610" t="s">
        <v>768</v>
      </c>
      <c r="P419" s="610"/>
      <c r="Q419" s="610"/>
      <c r="R419" s="610"/>
      <c r="S419" s="610"/>
      <c r="T419" s="610"/>
      <c r="U419" s="610"/>
      <c r="V419" s="611"/>
      <c r="W419" s="611"/>
      <c r="X419" s="610"/>
      <c r="Y419" s="610"/>
      <c r="Z419" s="610"/>
      <c r="AA419" s="85"/>
      <c r="AB419" s="85"/>
      <c r="AD419" s="11"/>
      <c r="AE419" s="12"/>
      <c r="AF419" s="13"/>
      <c r="AG419" s="13"/>
      <c r="AS419" s="14"/>
      <c r="AT419" s="13"/>
      <c r="AU419" s="13"/>
      <c r="AV419" s="13"/>
      <c r="AW419" s="13"/>
      <c r="AX419" s="15"/>
      <c r="AY419" s="16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</row>
    <row r="420" spans="1:62" ht="22.5" customHeight="1">
      <c r="A420" s="130"/>
      <c r="B420" s="130"/>
      <c r="C420" s="77"/>
      <c r="D420" s="610"/>
      <c r="E420" s="610"/>
      <c r="F420" s="610"/>
      <c r="G420" s="610" t="s">
        <v>769</v>
      </c>
      <c r="H420" s="610"/>
      <c r="I420" s="610"/>
      <c r="J420" s="610"/>
      <c r="K420" s="610"/>
      <c r="L420" s="610"/>
      <c r="M420" s="611" t="s">
        <v>770</v>
      </c>
      <c r="N420" s="611" t="s">
        <v>601</v>
      </c>
      <c r="O420" s="610" t="s">
        <v>771</v>
      </c>
      <c r="P420" s="610"/>
      <c r="Q420" s="610"/>
      <c r="R420" s="610"/>
      <c r="S420" s="610"/>
      <c r="T420" s="610"/>
      <c r="U420" s="610"/>
      <c r="V420" s="610"/>
      <c r="W420" s="610"/>
      <c r="X420" s="610"/>
      <c r="Y420" s="610"/>
      <c r="Z420" s="610"/>
      <c r="AA420" s="85"/>
      <c r="AB420" s="85"/>
      <c r="AD420" s="11"/>
      <c r="AE420" s="12"/>
      <c r="AF420" s="13"/>
      <c r="AG420" s="13"/>
      <c r="AS420" s="14"/>
      <c r="AT420" s="13"/>
      <c r="AU420" s="13"/>
      <c r="AV420" s="13"/>
      <c r="AW420" s="13"/>
      <c r="AX420" s="15"/>
      <c r="AY420" s="16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</row>
    <row r="421" spans="1:62" ht="22.5" customHeight="1">
      <c r="A421" s="130"/>
      <c r="B421" s="130"/>
      <c r="C421" s="85"/>
      <c r="D421" s="610"/>
      <c r="E421" s="610"/>
      <c r="F421" s="610"/>
      <c r="G421" s="610" t="s">
        <v>772</v>
      </c>
      <c r="H421" s="610"/>
      <c r="I421" s="610"/>
      <c r="J421" s="610"/>
      <c r="K421" s="610"/>
      <c r="L421" s="610"/>
      <c r="M421" s="611" t="s">
        <v>773</v>
      </c>
      <c r="N421" s="611" t="s">
        <v>601</v>
      </c>
      <c r="O421" s="610" t="s">
        <v>774</v>
      </c>
      <c r="P421" s="610"/>
      <c r="Q421" s="610"/>
      <c r="R421" s="610"/>
      <c r="S421" s="610"/>
      <c r="T421" s="610"/>
      <c r="U421" s="610"/>
      <c r="V421" s="610"/>
      <c r="W421" s="610"/>
      <c r="X421" s="610"/>
      <c r="Y421" s="610"/>
      <c r="Z421" s="610"/>
      <c r="AA421" s="85"/>
      <c r="AB421" s="85"/>
      <c r="AD421" s="11"/>
      <c r="AE421" s="12"/>
      <c r="AF421" s="13"/>
      <c r="AG421" s="13"/>
      <c r="AS421" s="14"/>
      <c r="AT421" s="13"/>
      <c r="AU421" s="13"/>
      <c r="AV421" s="13"/>
      <c r="AW421" s="13"/>
      <c r="AX421" s="15"/>
      <c r="AY421" s="16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</row>
    <row r="422" spans="1:62" ht="15" customHeight="1">
      <c r="A422" s="130"/>
      <c r="B422" s="130"/>
      <c r="C422" s="85"/>
      <c r="D422" s="85"/>
      <c r="E422" s="213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85"/>
      <c r="AA422" s="85"/>
      <c r="AB422" s="85"/>
      <c r="AD422" s="11"/>
      <c r="AE422" s="12"/>
      <c r="AF422" s="13"/>
      <c r="AG422" s="13"/>
      <c r="AS422" s="14"/>
      <c r="AT422" s="13"/>
      <c r="AU422" s="13"/>
      <c r="AV422" s="13"/>
      <c r="AW422" s="13"/>
      <c r="AX422" s="15"/>
      <c r="AY422" s="16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</row>
    <row r="423" spans="1:62" ht="15" customHeight="1">
      <c r="A423" s="130"/>
      <c r="B423" s="130"/>
      <c r="C423" s="85"/>
      <c r="D423" s="85"/>
      <c r="E423" s="85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85"/>
      <c r="AA423" s="85"/>
      <c r="AB423" s="85"/>
      <c r="AD423" s="11"/>
      <c r="AE423" s="12"/>
      <c r="AF423" s="13"/>
      <c r="AG423" s="13"/>
      <c r="AS423" s="14"/>
      <c r="AT423" s="13"/>
      <c r="AU423" s="13"/>
      <c r="AV423" s="13"/>
      <c r="AW423" s="13"/>
      <c r="AX423" s="15"/>
      <c r="AY423" s="16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</row>
    <row r="424" spans="1:62" ht="15" customHeight="1">
      <c r="A424" s="130"/>
      <c r="B424" s="130"/>
      <c r="C424" s="85"/>
      <c r="D424" s="85"/>
      <c r="E424" s="85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85"/>
      <c r="AA424" s="85"/>
      <c r="AB424" s="85"/>
      <c r="AD424" s="11"/>
      <c r="AE424" s="12"/>
      <c r="AF424" s="13"/>
      <c r="AG424" s="13"/>
      <c r="AS424" s="14"/>
      <c r="AT424" s="13"/>
      <c r="AU424" s="13"/>
      <c r="AV424" s="13"/>
      <c r="AW424" s="13"/>
      <c r="AX424" s="15"/>
      <c r="AY424" s="16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</row>
    <row r="425" spans="1:62" ht="15" customHeight="1">
      <c r="A425" s="130"/>
      <c r="B425" s="130"/>
      <c r="C425" s="85"/>
      <c r="D425" s="85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85"/>
      <c r="AA425" s="85"/>
      <c r="AD425" s="11"/>
      <c r="AE425" s="12"/>
      <c r="AF425" s="13"/>
      <c r="AG425" s="13"/>
      <c r="AS425" s="14"/>
      <c r="AT425" s="13"/>
      <c r="AU425" s="13"/>
      <c r="AV425" s="13"/>
      <c r="AW425" s="13"/>
      <c r="AX425" s="15"/>
      <c r="AY425" s="16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</row>
    <row r="426" spans="1:62" ht="15" customHeight="1">
      <c r="A426" s="130"/>
      <c r="B426" s="130"/>
      <c r="C426" s="85"/>
      <c r="D426" s="85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85"/>
      <c r="AA426" s="85"/>
      <c r="AD426" s="11"/>
      <c r="AE426" s="12"/>
      <c r="AF426" s="13"/>
      <c r="AG426" s="13"/>
      <c r="AS426" s="14"/>
      <c r="AT426" s="13"/>
      <c r="AU426" s="13"/>
      <c r="AV426" s="13"/>
      <c r="AW426" s="13"/>
      <c r="AX426" s="15"/>
      <c r="AY426" s="16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</row>
    <row r="427" spans="1:62" ht="15" customHeight="1">
      <c r="A427" s="130"/>
      <c r="B427" s="130"/>
      <c r="C427" s="85"/>
      <c r="D427" s="85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85"/>
      <c r="AA427" s="85"/>
      <c r="AD427" s="11"/>
      <c r="AE427" s="12"/>
      <c r="AF427" s="13"/>
      <c r="AG427" s="13"/>
      <c r="AS427" s="14"/>
      <c r="AT427" s="13"/>
      <c r="AU427" s="13"/>
      <c r="AV427" s="13"/>
      <c r="AW427" s="13"/>
      <c r="AX427" s="15"/>
      <c r="AY427" s="16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</row>
    <row r="428" spans="1:62" ht="15" customHeight="1">
      <c r="A428" s="130"/>
      <c r="B428" s="130"/>
      <c r="C428" s="85"/>
      <c r="D428" s="85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85"/>
      <c r="AA428" s="85"/>
      <c r="AD428" s="11"/>
      <c r="AE428" s="12"/>
      <c r="AF428" s="13"/>
      <c r="AG428" s="13"/>
      <c r="AS428" s="14"/>
      <c r="AT428" s="13"/>
      <c r="AU428" s="13"/>
      <c r="AV428" s="13"/>
      <c r="AW428" s="13"/>
      <c r="AX428" s="15"/>
      <c r="AY428" s="16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</row>
    <row r="429" spans="1:62" ht="15" customHeight="1">
      <c r="A429" s="130"/>
      <c r="B429" s="130"/>
      <c r="C429" s="85"/>
      <c r="D429" s="85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85"/>
      <c r="AA429" s="85"/>
      <c r="AD429" s="11"/>
      <c r="AE429" s="12"/>
      <c r="AF429" s="13"/>
      <c r="AG429" s="13"/>
      <c r="AS429" s="14"/>
      <c r="AT429" s="13"/>
      <c r="AU429" s="13"/>
      <c r="AV429" s="13"/>
      <c r="AW429" s="13"/>
      <c r="AX429" s="15"/>
      <c r="AY429" s="16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</row>
    <row r="430" spans="1:62" ht="15" customHeight="1">
      <c r="A430" s="130"/>
      <c r="B430" s="130"/>
      <c r="C430" s="85"/>
      <c r="D430" s="85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85"/>
      <c r="AA430" s="85"/>
      <c r="AD430" s="11"/>
      <c r="AE430" s="12"/>
      <c r="AF430" s="13"/>
      <c r="AG430" s="13"/>
      <c r="AS430" s="14"/>
      <c r="AT430" s="13"/>
      <c r="AU430" s="13"/>
      <c r="AV430" s="13"/>
      <c r="AW430" s="13"/>
      <c r="AX430" s="15"/>
      <c r="AY430" s="16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</row>
    <row r="431" spans="1:62" ht="15" customHeight="1">
      <c r="A431" s="130"/>
      <c r="B431" s="130"/>
      <c r="C431" s="85"/>
      <c r="D431" s="85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85"/>
      <c r="AA431" s="85"/>
      <c r="AD431" s="11"/>
      <c r="AE431" s="12"/>
      <c r="AF431" s="13"/>
      <c r="AG431" s="13"/>
      <c r="AS431" s="14"/>
      <c r="AT431" s="13"/>
      <c r="AU431" s="13"/>
      <c r="AV431" s="13"/>
      <c r="AW431" s="13"/>
      <c r="AX431" s="15"/>
      <c r="AY431" s="16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</row>
    <row r="432" spans="1:62" ht="15" customHeight="1">
      <c r="A432" s="130"/>
      <c r="B432" s="130"/>
      <c r="C432" s="85"/>
      <c r="D432" s="85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85"/>
      <c r="AA432" s="85"/>
      <c r="AD432" s="11"/>
      <c r="AE432" s="12"/>
      <c r="AF432" s="13"/>
      <c r="AG432" s="13"/>
      <c r="AS432" s="14"/>
      <c r="AT432" s="13"/>
      <c r="AU432" s="13"/>
      <c r="AV432" s="13"/>
      <c r="AW432" s="13"/>
      <c r="AX432" s="15"/>
      <c r="AY432" s="16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</row>
    <row r="433" spans="1:62" ht="15" customHeight="1">
      <c r="A433" s="130"/>
      <c r="B433" s="130"/>
      <c r="C433" s="85"/>
      <c r="D433" s="85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85"/>
      <c r="AD433" s="11"/>
      <c r="AE433" s="12"/>
      <c r="AF433" s="13"/>
      <c r="AG433" s="13"/>
      <c r="AS433" s="14"/>
      <c r="AT433" s="13"/>
      <c r="AU433" s="13"/>
      <c r="AV433" s="13"/>
      <c r="AW433" s="13"/>
      <c r="AX433" s="15"/>
      <c r="AY433" s="16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</row>
    <row r="434" spans="1:62" ht="15" customHeight="1">
      <c r="A434" s="130"/>
      <c r="B434" s="130"/>
      <c r="C434" s="85"/>
      <c r="D434" s="85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A434" s="85"/>
      <c r="AD434" s="11"/>
      <c r="AE434" s="12"/>
      <c r="AF434" s="13"/>
      <c r="AG434" s="13"/>
      <c r="AS434" s="14"/>
      <c r="AT434" s="13"/>
      <c r="AU434" s="13"/>
      <c r="AV434" s="13"/>
      <c r="AW434" s="13"/>
      <c r="AX434" s="15"/>
      <c r="AY434" s="16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</row>
    <row r="435" spans="1:62" ht="15" customHeight="1">
      <c r="A435" s="130"/>
      <c r="B435" s="130"/>
      <c r="C435" s="85"/>
      <c r="D435" s="85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A435" s="85"/>
      <c r="AD435" s="11"/>
      <c r="AE435" s="12"/>
      <c r="AF435" s="13"/>
      <c r="AG435" s="13"/>
      <c r="AS435" s="14"/>
      <c r="AT435" s="13"/>
      <c r="AU435" s="13"/>
      <c r="AV435" s="13"/>
      <c r="AW435" s="13"/>
      <c r="AX435" s="15"/>
      <c r="AY435" s="16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</row>
    <row r="436" spans="1:62" ht="15" customHeight="1">
      <c r="A436" s="130"/>
      <c r="B436" s="130"/>
      <c r="C436" s="85"/>
      <c r="D436" s="85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85"/>
      <c r="AA436" s="85"/>
      <c r="AD436" s="11"/>
      <c r="AE436" s="12"/>
      <c r="AF436" s="13"/>
      <c r="AG436" s="13"/>
      <c r="AS436" s="14"/>
      <c r="AT436" s="13"/>
      <c r="AU436" s="13"/>
      <c r="AV436" s="13"/>
      <c r="AW436" s="13"/>
      <c r="AX436" s="15"/>
      <c r="AY436" s="16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</row>
    <row r="437" spans="1:62" ht="15" customHeight="1">
      <c r="A437" s="130"/>
      <c r="B437" s="130"/>
      <c r="C437" s="85"/>
      <c r="D437" s="85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A437" s="85"/>
      <c r="AD437" s="11"/>
      <c r="AE437" s="12"/>
      <c r="AF437" s="13"/>
      <c r="AG437" s="13"/>
      <c r="AS437" s="14"/>
      <c r="AT437" s="13"/>
      <c r="AU437" s="13"/>
      <c r="AV437" s="13"/>
      <c r="AW437" s="13"/>
      <c r="AX437" s="15"/>
      <c r="AY437" s="16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</row>
    <row r="438" spans="1:62" ht="15" customHeight="1">
      <c r="A438" s="130"/>
      <c r="B438" s="130"/>
      <c r="C438" s="85"/>
      <c r="D438" s="85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85"/>
      <c r="AA438" s="85"/>
      <c r="AD438" s="11"/>
      <c r="AE438" s="12"/>
      <c r="AF438" s="13"/>
      <c r="AG438" s="13"/>
      <c r="AS438" s="14"/>
      <c r="AT438" s="13"/>
      <c r="AU438" s="13"/>
      <c r="AV438" s="13"/>
      <c r="AW438" s="13"/>
      <c r="AX438" s="15"/>
      <c r="AY438" s="16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</row>
    <row r="439" spans="1:62" ht="15" customHeight="1">
      <c r="A439" s="130"/>
      <c r="B439" s="130"/>
      <c r="C439" s="85"/>
      <c r="D439" s="85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85"/>
      <c r="AA439" s="85"/>
      <c r="AD439" s="11"/>
      <c r="AE439" s="12"/>
      <c r="AF439" s="13"/>
      <c r="AG439" s="13"/>
      <c r="AS439" s="14"/>
      <c r="AT439" s="13"/>
      <c r="AU439" s="13"/>
      <c r="AV439" s="13"/>
      <c r="AW439" s="13"/>
      <c r="AX439" s="15"/>
      <c r="AY439" s="16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</row>
    <row r="440" spans="1:62" ht="15" customHeight="1">
      <c r="A440" s="130"/>
      <c r="B440" s="130"/>
      <c r="C440" s="85"/>
      <c r="D440" s="85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85"/>
      <c r="AA440" s="85"/>
      <c r="AD440" s="11"/>
      <c r="AE440" s="12"/>
      <c r="AF440" s="13"/>
      <c r="AG440" s="13"/>
      <c r="AS440" s="14"/>
      <c r="AT440" s="13"/>
      <c r="AU440" s="13"/>
      <c r="AV440" s="13"/>
      <c r="AW440" s="13"/>
      <c r="AX440" s="15"/>
      <c r="AY440" s="16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</row>
    <row r="441" spans="1:62" ht="15" customHeight="1">
      <c r="A441" s="130"/>
      <c r="B441" s="130"/>
      <c r="C441" s="85"/>
      <c r="D441" s="85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85"/>
      <c r="AA441" s="85"/>
      <c r="AD441" s="11"/>
      <c r="AE441" s="12"/>
      <c r="AF441" s="13"/>
      <c r="AG441" s="13"/>
      <c r="AS441" s="14"/>
      <c r="AT441" s="13"/>
      <c r="AU441" s="13"/>
      <c r="AV441" s="13"/>
      <c r="AW441" s="13"/>
      <c r="AX441" s="15"/>
      <c r="AY441" s="16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</row>
    <row r="442" spans="1:62" ht="15" customHeight="1">
      <c r="A442" s="136"/>
      <c r="B442" s="136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AD442" s="11"/>
      <c r="AE442" s="12"/>
      <c r="AF442" s="13"/>
      <c r="AG442" s="13"/>
      <c r="AS442" s="14"/>
      <c r="AT442" s="13"/>
      <c r="AU442" s="13"/>
      <c r="AV442" s="13"/>
      <c r="AW442" s="1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</row>
    <row r="443" spans="1:62" ht="15" customHeight="1">
      <c r="A443" s="136"/>
      <c r="B443" s="136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AD443" s="11"/>
      <c r="AE443" s="12"/>
      <c r="AF443" s="13"/>
      <c r="AG443" s="13"/>
      <c r="AS443" s="14"/>
      <c r="AT443" s="13"/>
      <c r="AU443" s="13"/>
      <c r="AV443" s="13"/>
      <c r="AW443" s="13"/>
      <c r="AX443" s="15"/>
      <c r="AY443" s="16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</row>
    <row r="444" spans="1:62" ht="17.25" customHeight="1">
      <c r="A444" s="136"/>
      <c r="B444" s="136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AD444" s="11"/>
      <c r="AE444" s="12"/>
      <c r="AF444" s="13"/>
      <c r="AG444" s="13"/>
      <c r="AS444" s="14"/>
      <c r="AT444" s="13"/>
      <c r="AU444" s="13"/>
      <c r="AV444" s="13"/>
      <c r="AW444" s="13"/>
      <c r="AX444" s="15"/>
      <c r="AY444" s="16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</row>
    <row r="445" spans="1:62" ht="15" customHeight="1">
      <c r="A445" s="136"/>
      <c r="B445" s="136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AD445" s="11"/>
      <c r="AE445" s="12"/>
      <c r="AF445" s="13"/>
      <c r="AG445" s="13"/>
      <c r="AS445" s="14"/>
      <c r="AT445" s="13"/>
      <c r="AU445" s="13"/>
      <c r="AV445" s="13"/>
      <c r="AW445" s="13"/>
      <c r="AX445" s="15"/>
      <c r="AY445" s="16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</row>
    <row r="446" spans="1:62" ht="15" customHeight="1">
      <c r="A446" s="136"/>
      <c r="B446" s="136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AD446" s="11"/>
      <c r="AE446" s="12"/>
      <c r="AF446" s="13"/>
      <c r="AG446" s="13"/>
      <c r="AS446" s="14"/>
      <c r="AT446" s="13"/>
      <c r="AU446" s="13"/>
      <c r="AV446" s="13"/>
      <c r="AW446" s="13"/>
      <c r="AX446" s="15"/>
      <c r="AY446" s="16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</row>
    <row r="447" spans="1:62" ht="15" customHeight="1">
      <c r="A447" s="136"/>
      <c r="B447" s="136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AD447" s="11"/>
      <c r="AE447" s="12"/>
      <c r="AF447" s="13"/>
      <c r="AG447" s="13"/>
      <c r="AS447" s="14"/>
      <c r="AT447" s="13"/>
      <c r="AU447" s="13"/>
      <c r="AV447" s="13"/>
      <c r="AW447" s="13"/>
      <c r="AX447" s="15"/>
      <c r="AY447" s="16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</row>
    <row r="448" spans="1:62" ht="15" customHeight="1">
      <c r="A448" s="136"/>
      <c r="B448" s="136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AD448" s="11"/>
      <c r="AE448" s="12"/>
      <c r="AF448" s="13"/>
      <c r="AG448" s="13"/>
      <c r="AS448" s="14"/>
      <c r="AT448" s="13"/>
      <c r="AU448" s="13"/>
      <c r="AV448" s="13"/>
      <c r="AW448" s="13"/>
      <c r="AX448" s="15"/>
      <c r="AY448" s="16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</row>
    <row r="449" spans="1:62" ht="15" customHeight="1">
      <c r="A449" s="136"/>
      <c r="B449" s="255" t="s">
        <v>282</v>
      </c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AD449" s="11"/>
      <c r="AE449" s="12"/>
      <c r="AF449" s="13"/>
      <c r="AG449" s="13"/>
      <c r="AS449" s="14"/>
      <c r="AT449" s="13"/>
      <c r="AU449" s="13"/>
      <c r="AV449" s="13"/>
      <c r="AW449" s="13"/>
      <c r="AX449" s="15"/>
      <c r="AY449" s="16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</row>
    <row r="450" spans="1:62" ht="15" customHeight="1">
      <c r="A450" s="136"/>
      <c r="B450" s="256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AD450" s="11"/>
      <c r="AE450" s="12"/>
      <c r="AF450" s="13"/>
      <c r="AG450" s="13"/>
      <c r="AS450" s="14"/>
      <c r="AT450" s="13"/>
      <c r="AU450" s="13"/>
      <c r="AV450" s="13"/>
      <c r="AW450" s="13"/>
      <c r="AX450" s="15"/>
      <c r="AY450" s="16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</row>
    <row r="451" spans="1:62" ht="15" customHeight="1">
      <c r="A451" s="136"/>
      <c r="B451" s="1082" t="s">
        <v>157</v>
      </c>
      <c r="C451" s="1083"/>
      <c r="D451" s="1083"/>
      <c r="E451" s="1336" t="s">
        <v>548</v>
      </c>
      <c r="F451" s="1336"/>
      <c r="G451" s="1336"/>
      <c r="H451" s="1336"/>
      <c r="I451" s="1334" t="s">
        <v>551</v>
      </c>
      <c r="J451" s="1334"/>
      <c r="K451" s="1334"/>
      <c r="L451" s="1334"/>
      <c r="M451" s="1084" t="s">
        <v>286</v>
      </c>
      <c r="N451" s="1084"/>
      <c r="O451" s="1084"/>
      <c r="P451" s="1084"/>
      <c r="Q451" s="1084" t="s">
        <v>619</v>
      </c>
      <c r="R451" s="1084"/>
      <c r="S451" s="1084"/>
      <c r="T451" s="1084" t="s">
        <v>288</v>
      </c>
      <c r="U451" s="1084"/>
      <c r="V451" s="1084"/>
      <c r="W451" s="1084" t="s">
        <v>289</v>
      </c>
      <c r="X451" s="1084"/>
      <c r="Y451" s="1311"/>
      <c r="AD451" s="11"/>
      <c r="AE451" s="12"/>
      <c r="AF451" s="13"/>
      <c r="AG451" s="13"/>
      <c r="AS451" s="14"/>
      <c r="AT451" s="13"/>
      <c r="AU451" s="13"/>
      <c r="AV451" s="13"/>
      <c r="AW451" s="13"/>
      <c r="AX451" s="15"/>
      <c r="AY451" s="16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</row>
    <row r="452" spans="1:62" ht="15" customHeight="1">
      <c r="A452" s="136"/>
      <c r="B452" s="1325">
        <f>$F$5</f>
        <v>1.85</v>
      </c>
      <c r="C452" s="1326"/>
      <c r="D452" s="1326"/>
      <c r="E452" s="1335">
        <f>$J$5</f>
        <v>2.5</v>
      </c>
      <c r="F452" s="1335"/>
      <c r="G452" s="1335"/>
      <c r="H452" s="1335"/>
      <c r="I452" s="1335">
        <f>+$N$5</f>
        <v>1.1599999999999999</v>
      </c>
      <c r="J452" s="1335"/>
      <c r="K452" s="1335"/>
      <c r="L452" s="1335"/>
      <c r="M452" s="1332">
        <f>+R5</f>
        <v>150</v>
      </c>
      <c r="N452" s="1332"/>
      <c r="O452" s="1332"/>
      <c r="P452" s="1332"/>
      <c r="Q452" s="1331">
        <f>+F167</f>
        <v>20.88</v>
      </c>
      <c r="R452" s="1332"/>
      <c r="S452" s="1332"/>
      <c r="T452" s="1333">
        <f>+IF(Q452/(M452-Q452)&gt;1,0.5,1-0.5*(Q452/(M452-Q452)))</f>
        <v>0.91914498141263945</v>
      </c>
      <c r="U452" s="1333"/>
      <c r="V452" s="1333"/>
      <c r="W452" s="1333">
        <f>+U493</f>
        <v>1.4352182518111363</v>
      </c>
      <c r="X452" s="1333"/>
      <c r="Y452" s="1308"/>
      <c r="AD452" s="11"/>
      <c r="AE452" s="12"/>
      <c r="AF452" s="13"/>
      <c r="AG452" s="13"/>
      <c r="AS452" s="14"/>
      <c r="AT452" s="13"/>
      <c r="AU452" s="13"/>
      <c r="AV452" s="13"/>
      <c r="AW452" s="13"/>
      <c r="AX452" s="15"/>
      <c r="AY452" s="16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</row>
    <row r="453" spans="1:62" ht="15" customHeight="1" thickBot="1">
      <c r="A453" s="136"/>
      <c r="B453" s="159"/>
      <c r="C453" s="159"/>
      <c r="D453" s="159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258"/>
      <c r="R453" s="258"/>
      <c r="S453" s="258"/>
      <c r="T453" s="258"/>
      <c r="U453" s="258"/>
      <c r="V453" s="258"/>
      <c r="W453" s="258"/>
      <c r="X453" s="252"/>
      <c r="Y453" s="252"/>
      <c r="AD453" s="11"/>
      <c r="AE453" s="12"/>
      <c r="AF453" s="13"/>
      <c r="AG453" s="13"/>
      <c r="AS453" s="14"/>
      <c r="AT453" s="13"/>
      <c r="AU453" s="13"/>
      <c r="AV453" s="13"/>
      <c r="AW453" s="13"/>
      <c r="AX453" s="15"/>
      <c r="AY453" s="16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</row>
    <row r="454" spans="1:62" ht="15" customHeight="1" thickTop="1">
      <c r="A454" s="136"/>
      <c r="B454" s="1340" t="s">
        <v>294</v>
      </c>
      <c r="C454" s="1341"/>
      <c r="D454" s="1342"/>
      <c r="E454" s="1349" t="s">
        <v>49</v>
      </c>
      <c r="F454" s="1349"/>
      <c r="G454" s="1351" t="s">
        <v>291</v>
      </c>
      <c r="H454" s="1351"/>
      <c r="I454" s="1351"/>
      <c r="J454" s="1349" t="s">
        <v>55</v>
      </c>
      <c r="K454" s="1349"/>
      <c r="L454" s="1349"/>
      <c r="M454" s="1349" t="s">
        <v>292</v>
      </c>
      <c r="N454" s="1349"/>
      <c r="O454" s="1353" t="s">
        <v>293</v>
      </c>
      <c r="P454" s="1353"/>
      <c r="Q454" s="1354"/>
      <c r="S454" s="259"/>
      <c r="T454" s="259"/>
      <c r="U454" s="259"/>
      <c r="V454" s="259"/>
      <c r="X454" s="259"/>
      <c r="Y454" s="259"/>
      <c r="Z454" s="259"/>
      <c r="AC454" s="452"/>
      <c r="AD454" s="502" t="s">
        <v>280</v>
      </c>
      <c r="AE454" s="513" t="s">
        <v>281</v>
      </c>
      <c r="AF454" s="501"/>
      <c r="AG454" s="501"/>
      <c r="AH454" s="452"/>
      <c r="AI454" s="452"/>
      <c r="AJ454" s="452"/>
      <c r="AK454" s="452"/>
      <c r="AL454" s="452"/>
      <c r="AM454" s="452"/>
      <c r="AN454" s="452"/>
      <c r="AO454" s="452"/>
      <c r="AP454" s="452"/>
      <c r="AQ454" s="452"/>
      <c r="AR454" s="452"/>
      <c r="AS454" s="514"/>
      <c r="AT454" s="13"/>
      <c r="AU454" s="13"/>
      <c r="AV454" s="13"/>
      <c r="AW454" s="13"/>
      <c r="AX454" s="15"/>
      <c r="AY454" s="16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</row>
    <row r="455" spans="1:62" ht="15" customHeight="1">
      <c r="A455" s="136"/>
      <c r="B455" s="1343"/>
      <c r="C455" s="1344"/>
      <c r="D455" s="1345"/>
      <c r="E455" s="1350"/>
      <c r="F455" s="1350"/>
      <c r="G455" s="1352"/>
      <c r="H455" s="1352"/>
      <c r="I455" s="1352"/>
      <c r="J455" s="1350"/>
      <c r="K455" s="1350"/>
      <c r="L455" s="1350"/>
      <c r="M455" s="1350"/>
      <c r="N455" s="1350"/>
      <c r="O455" s="1355"/>
      <c r="P455" s="1355"/>
      <c r="Q455" s="1356"/>
      <c r="S455" s="259"/>
      <c r="T455" s="259"/>
      <c r="U455" s="259"/>
      <c r="V455" s="259"/>
      <c r="X455" s="259"/>
      <c r="Y455" s="259"/>
      <c r="Z455" s="259"/>
      <c r="AD455" s="11"/>
      <c r="AE455" s="12"/>
      <c r="AF455" s="13"/>
      <c r="AG455" s="13"/>
      <c r="AJ455" s="490" t="s">
        <v>326</v>
      </c>
      <c r="AK455" s="490" t="s">
        <v>314</v>
      </c>
      <c r="AL455" s="1339" t="s">
        <v>326</v>
      </c>
      <c r="AM455" s="1339"/>
      <c r="AN455" s="1339" t="s">
        <v>314</v>
      </c>
      <c r="AO455" s="1339"/>
      <c r="AS455" s="14" t="s">
        <v>11</v>
      </c>
      <c r="AT455" s="13"/>
      <c r="AU455" s="13"/>
      <c r="AV455" s="13"/>
      <c r="AW455" s="13"/>
      <c r="AX455" s="15"/>
      <c r="AY455" s="16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</row>
    <row r="456" spans="1:62" ht="15" customHeight="1">
      <c r="A456" s="136"/>
      <c r="B456" s="1343"/>
      <c r="C456" s="1344"/>
      <c r="D456" s="1345"/>
      <c r="E456" s="1357" t="s">
        <v>20</v>
      </c>
      <c r="F456" s="1357"/>
      <c r="G456" s="1358" t="s">
        <v>295</v>
      </c>
      <c r="H456" s="1358"/>
      <c r="I456" s="1358"/>
      <c r="J456" s="1359" t="s">
        <v>296</v>
      </c>
      <c r="K456" s="1359"/>
      <c r="L456" s="1359"/>
      <c r="M456" s="1359" t="s">
        <v>297</v>
      </c>
      <c r="N456" s="1359"/>
      <c r="O456" s="1359" t="s">
        <v>298</v>
      </c>
      <c r="P456" s="1359"/>
      <c r="Q456" s="1360"/>
      <c r="S456" s="260"/>
      <c r="T456" s="260"/>
      <c r="U456" s="260"/>
      <c r="V456" s="260"/>
      <c r="X456" s="12"/>
      <c r="Y456" s="12"/>
      <c r="Z456" s="12"/>
      <c r="AD456" s="958" t="s">
        <v>19</v>
      </c>
      <c r="AE456" s="959"/>
      <c r="AF456" s="960"/>
      <c r="AG456" s="1365" t="s">
        <v>20</v>
      </c>
      <c r="AH456" s="1366"/>
      <c r="AI456" s="18" t="s">
        <v>21</v>
      </c>
      <c r="AJ456" s="928" t="s">
        <v>22</v>
      </c>
      <c r="AK456" s="928" t="s">
        <v>22</v>
      </c>
      <c r="AL456" s="18" t="s">
        <v>23</v>
      </c>
      <c r="AM456" s="1337" t="s">
        <v>24</v>
      </c>
      <c r="AN456" s="18" t="s">
        <v>23</v>
      </c>
      <c r="AO456" s="1337" t="s">
        <v>24</v>
      </c>
      <c r="AP456" s="11"/>
      <c r="AQ456" s="968" t="s">
        <v>25</v>
      </c>
      <c r="AR456" s="19"/>
      <c r="AS456" s="968" t="s">
        <v>26</v>
      </c>
      <c r="AT456" s="968"/>
      <c r="AU456" s="968" t="s">
        <v>27</v>
      </c>
      <c r="AV456" s="968"/>
      <c r="AW456" s="13"/>
      <c r="AX456" s="15"/>
      <c r="AY456" s="16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</row>
    <row r="457" spans="1:62" ht="15" customHeight="1">
      <c r="A457" s="136"/>
      <c r="B457" s="1346"/>
      <c r="C457" s="1347"/>
      <c r="D457" s="1348"/>
      <c r="E457" s="1357"/>
      <c r="F457" s="1357"/>
      <c r="G457" s="1358"/>
      <c r="H457" s="1358"/>
      <c r="I457" s="1358"/>
      <c r="J457" s="1359"/>
      <c r="K457" s="1359"/>
      <c r="L457" s="1359"/>
      <c r="M457" s="1359"/>
      <c r="N457" s="1359"/>
      <c r="O457" s="1359"/>
      <c r="P457" s="1359"/>
      <c r="Q457" s="1360"/>
      <c r="S457" s="260"/>
      <c r="T457" s="260"/>
      <c r="U457" s="260"/>
      <c r="V457" s="260"/>
      <c r="X457" s="12"/>
      <c r="Y457" s="12"/>
      <c r="Z457" s="12"/>
      <c r="AD457" s="961"/>
      <c r="AE457" s="962"/>
      <c r="AF457" s="963"/>
      <c r="AG457" s="1367"/>
      <c r="AH457" s="1368"/>
      <c r="AI457" s="539" t="s">
        <v>30</v>
      </c>
      <c r="AJ457" s="929"/>
      <c r="AK457" s="929"/>
      <c r="AL457" s="539" t="s">
        <v>31</v>
      </c>
      <c r="AM457" s="1338"/>
      <c r="AN457" s="539" t="s">
        <v>31</v>
      </c>
      <c r="AO457" s="1338"/>
      <c r="AP457" s="11"/>
      <c r="AQ457" s="968"/>
      <c r="AR457" s="19"/>
      <c r="AS457" s="968"/>
      <c r="AT457" s="968"/>
      <c r="AU457" s="968"/>
      <c r="AV457" s="968"/>
      <c r="AW457" s="13"/>
      <c r="AX457" s="15"/>
      <c r="AY457" s="16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</row>
    <row r="458" spans="1:62" ht="15" customHeight="1">
      <c r="A458" s="136"/>
      <c r="B458" s="569"/>
      <c r="C458" s="526"/>
      <c r="D458" s="572"/>
      <c r="E458" s="909"/>
      <c r="F458" s="909"/>
      <c r="G458" s="910"/>
      <c r="H458" s="910"/>
      <c r="I458" s="910"/>
      <c r="J458" s="912"/>
      <c r="K458" s="912"/>
      <c r="L458" s="912"/>
      <c r="M458" s="906"/>
      <c r="N458" s="906"/>
      <c r="O458" s="907"/>
      <c r="P458" s="907"/>
      <c r="Q458" s="908"/>
      <c r="S458" s="264"/>
      <c r="T458" s="264"/>
      <c r="U458" s="264"/>
      <c r="V458" s="264"/>
      <c r="X458" s="264"/>
      <c r="Y458" s="264"/>
      <c r="Z458" s="264"/>
      <c r="AD458" s="552"/>
      <c r="AE458" s="557"/>
      <c r="AF458" s="551"/>
      <c r="AG458" s="1361"/>
      <c r="AH458" s="1362"/>
      <c r="AI458" s="592"/>
      <c r="AJ458" s="604"/>
      <c r="AK458" s="734"/>
      <c r="AL458" s="1363"/>
      <c r="AM458" s="1364"/>
      <c r="AN458" s="1329"/>
      <c r="AO458" s="1330"/>
      <c r="AP458" s="553" t="str">
        <f>+IF(AG458=1,"","N")</f>
        <v>N</v>
      </c>
      <c r="AQ458" s="556">
        <f>SUM(AG458)/2</f>
        <v>0</v>
      </c>
      <c r="AR458" s="29"/>
      <c r="AS458" s="871">
        <v>1</v>
      </c>
      <c r="AT458" s="871"/>
      <c r="AU458" s="863">
        <f t="shared" ref="AU458:AU484" si="14">+AF11</f>
        <v>4</v>
      </c>
      <c r="AV458" s="864"/>
      <c r="AW458" s="13"/>
      <c r="AX458" s="15"/>
      <c r="AY458" s="16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</row>
    <row r="459" spans="1:62" ht="15" customHeight="1">
      <c r="A459" s="136"/>
      <c r="B459" s="569">
        <f t="shared" ref="B459:B464" si="15">+AD459</f>
        <v>1.1599999999999999</v>
      </c>
      <c r="C459" s="526" t="s">
        <v>35</v>
      </c>
      <c r="D459" s="572">
        <f t="shared" ref="D459:D464" si="16">+AF459</f>
        <v>2</v>
      </c>
      <c r="E459" s="909">
        <f t="shared" ref="E459:E464" si="17">+D459-B459</f>
        <v>0.84000000000000008</v>
      </c>
      <c r="F459" s="909"/>
      <c r="G459" s="910">
        <f t="shared" ref="G459:G464" si="18">+AQ459</f>
        <v>0.42000000000000004</v>
      </c>
      <c r="H459" s="910"/>
      <c r="I459" s="910"/>
      <c r="J459" s="912">
        <f t="shared" ref="J459:J464" si="19">+AI459</f>
        <v>10000</v>
      </c>
      <c r="K459" s="912"/>
      <c r="L459" s="912"/>
      <c r="M459" s="906">
        <f t="shared" ref="M459:M464" si="20">IF(($E$452/$B$452)&lt;10,AK459,AJ459)</f>
        <v>0.37881471359752161</v>
      </c>
      <c r="N459" s="906"/>
      <c r="O459" s="907">
        <f t="shared" ref="O459:O464" si="21">IF(J459=0,0,IF(M459&lt;0,0,ROUND(M459*E459/J459,7)))</f>
        <v>3.18E-5</v>
      </c>
      <c r="P459" s="907"/>
      <c r="Q459" s="908"/>
      <c r="S459" s="264"/>
      <c r="T459" s="264"/>
      <c r="U459" s="264"/>
      <c r="V459" s="264"/>
      <c r="X459" s="264"/>
      <c r="Y459" s="264"/>
      <c r="Z459" s="264"/>
      <c r="AD459" s="41">
        <f>I452</f>
        <v>1.1599999999999999</v>
      </c>
      <c r="AE459" s="24" t="s">
        <v>35</v>
      </c>
      <c r="AF459" s="551">
        <f t="shared" ref="AF459:AF484" si="22">+AK12</f>
        <v>2</v>
      </c>
      <c r="AG459" s="865">
        <f t="shared" ref="AG459:AG462" si="23">AF459-AD459</f>
        <v>0.84000000000000008</v>
      </c>
      <c r="AH459" s="866"/>
      <c r="AI459" s="592">
        <f t="shared" ref="AI459:AI484" si="24">+AM12</f>
        <v>10000</v>
      </c>
      <c r="AJ459" s="604">
        <f t="shared" ref="AJ459:AJ483" si="25">IF(AG459="","",(IF(AQ459&lt;AQ$503,(AQ459*$AL$501+$AM$501),(AQ459*$AL$502+$AM$502))))</f>
        <v>0.3121841420985827</v>
      </c>
      <c r="AK459" s="734">
        <f t="shared" ref="AK459:AK483" si="26">IF(AG459="","",(IF(AQ459&lt;$AQ$499,($AL$497*AQ459+$AM$497),((AQ459*$AL$498+$AM$498)))))</f>
        <v>0.37881471359752161</v>
      </c>
      <c r="AL459" s="1327">
        <f t="shared" ref="AL459:AL483" si="27">IF(AK459&lt;0,0,IF(AI459=0,0,+AK459*AG459/AI459))</f>
        <v>3.1820435942191814E-5</v>
      </c>
      <c r="AM459" s="1328"/>
      <c r="AN459" s="1329">
        <f t="shared" ref="AN459:AN483" si="28">+ROUND(IF(AJ459&lt;0,0,AJ459*AG459/AI459),7)</f>
        <v>2.62E-5</v>
      </c>
      <c r="AO459" s="1330"/>
      <c r="AP459" s="553" t="str">
        <f t="shared" ref="AP459:AP484" si="29">+IF(AG459=1,"","N")</f>
        <v>N</v>
      </c>
      <c r="AQ459" s="556">
        <f>SUM(AG458)+(AG459/2)</f>
        <v>0.42000000000000004</v>
      </c>
      <c r="AR459" s="29"/>
      <c r="AS459" s="871">
        <v>2</v>
      </c>
      <c r="AT459" s="871"/>
      <c r="AU459" s="863">
        <f t="shared" si="14"/>
        <v>5</v>
      </c>
      <c r="AV459" s="864"/>
      <c r="AW459" s="13"/>
      <c r="AX459" s="15"/>
      <c r="AY459" s="16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</row>
    <row r="460" spans="1:62" ht="15" customHeight="1">
      <c r="A460" s="136"/>
      <c r="B460" s="569">
        <f t="shared" si="15"/>
        <v>2</v>
      </c>
      <c r="C460" s="526" t="s">
        <v>35</v>
      </c>
      <c r="D460" s="572">
        <f t="shared" si="16"/>
        <v>3</v>
      </c>
      <c r="E460" s="909">
        <f t="shared" si="17"/>
        <v>1</v>
      </c>
      <c r="F460" s="909"/>
      <c r="G460" s="910">
        <f t="shared" si="18"/>
        <v>1.34</v>
      </c>
      <c r="H460" s="910"/>
      <c r="I460" s="910"/>
      <c r="J460" s="912">
        <f t="shared" si="19"/>
        <v>10000</v>
      </c>
      <c r="K460" s="912"/>
      <c r="L460" s="912"/>
      <c r="M460" s="906">
        <f t="shared" si="20"/>
        <v>0.63493963338353554</v>
      </c>
      <c r="N460" s="906"/>
      <c r="O460" s="907">
        <f t="shared" si="21"/>
        <v>6.3499999999999999E-5</v>
      </c>
      <c r="P460" s="907"/>
      <c r="Q460" s="908"/>
      <c r="S460" s="264"/>
      <c r="T460" s="264"/>
      <c r="U460" s="264"/>
      <c r="V460" s="264"/>
      <c r="X460" s="264"/>
      <c r="Y460" s="264"/>
      <c r="Z460" s="264"/>
      <c r="AD460" s="41">
        <f t="shared" ref="AD460:AD461" si="30">+AF459</f>
        <v>2</v>
      </c>
      <c r="AE460" s="24" t="s">
        <v>35</v>
      </c>
      <c r="AF460" s="551">
        <f t="shared" si="22"/>
        <v>3</v>
      </c>
      <c r="AG460" s="865">
        <f t="shared" si="23"/>
        <v>1</v>
      </c>
      <c r="AH460" s="866"/>
      <c r="AI460" s="592">
        <f t="shared" si="24"/>
        <v>10000</v>
      </c>
      <c r="AJ460" s="604">
        <f t="shared" si="25"/>
        <v>0.55792083431452588</v>
      </c>
      <c r="AK460" s="734">
        <f t="shared" si="26"/>
        <v>0.63493963338353554</v>
      </c>
      <c r="AL460" s="1327">
        <f t="shared" si="27"/>
        <v>6.3493963338353556E-5</v>
      </c>
      <c r="AM460" s="1328"/>
      <c r="AN460" s="1329">
        <f t="shared" si="28"/>
        <v>5.5800000000000001E-5</v>
      </c>
      <c r="AO460" s="1330"/>
      <c r="AP460" s="553" t="str">
        <f t="shared" si="29"/>
        <v/>
      </c>
      <c r="AQ460" s="556">
        <f>SUM($AG$458:AH459)+(AG460/2)</f>
        <v>1.34</v>
      </c>
      <c r="AR460" s="29"/>
      <c r="AS460" s="871">
        <v>3</v>
      </c>
      <c r="AT460" s="871"/>
      <c r="AU460" s="863">
        <f t="shared" si="14"/>
        <v>5</v>
      </c>
      <c r="AV460" s="864"/>
      <c r="AW460" s="13"/>
      <c r="AX460" s="20"/>
      <c r="AY460" s="20"/>
      <c r="AZ460" s="20"/>
      <c r="BA460" s="20"/>
      <c r="BB460" s="20"/>
      <c r="BC460" s="21"/>
      <c r="BD460" s="21"/>
      <c r="BE460" s="21"/>
      <c r="BF460" s="21"/>
      <c r="BG460" s="21"/>
      <c r="BH460" s="20"/>
      <c r="BI460" s="20"/>
      <c r="BJ460" s="20"/>
    </row>
    <row r="461" spans="1:62" ht="15" customHeight="1">
      <c r="A461" s="136"/>
      <c r="B461" s="569">
        <f t="shared" si="15"/>
        <v>3</v>
      </c>
      <c r="C461" s="526" t="s">
        <v>35</v>
      </c>
      <c r="D461" s="572">
        <f t="shared" si="16"/>
        <v>4</v>
      </c>
      <c r="E461" s="909">
        <f t="shared" si="17"/>
        <v>1</v>
      </c>
      <c r="F461" s="909"/>
      <c r="G461" s="910">
        <f t="shared" si="18"/>
        <v>2.34</v>
      </c>
      <c r="H461" s="910"/>
      <c r="I461" s="910"/>
      <c r="J461" s="912">
        <f t="shared" si="19"/>
        <v>9500</v>
      </c>
      <c r="K461" s="912"/>
      <c r="L461" s="912"/>
      <c r="M461" s="906">
        <f t="shared" si="20"/>
        <v>0.35313523497793886</v>
      </c>
      <c r="N461" s="906"/>
      <c r="O461" s="907">
        <f t="shared" si="21"/>
        <v>3.7200000000000003E-5</v>
      </c>
      <c r="P461" s="907"/>
      <c r="Q461" s="908"/>
      <c r="S461" s="264"/>
      <c r="T461" s="264"/>
      <c r="U461" s="264"/>
      <c r="V461" s="264"/>
      <c r="X461" s="264"/>
      <c r="Y461" s="264"/>
      <c r="Z461" s="264"/>
      <c r="AD461" s="41">
        <f t="shared" si="30"/>
        <v>3</v>
      </c>
      <c r="AE461" s="24" t="s">
        <v>35</v>
      </c>
      <c r="AF461" s="551">
        <f t="shared" si="22"/>
        <v>4</v>
      </c>
      <c r="AG461" s="865">
        <f t="shared" si="23"/>
        <v>1</v>
      </c>
      <c r="AH461" s="866"/>
      <c r="AI461" s="592">
        <f t="shared" si="24"/>
        <v>9500</v>
      </c>
      <c r="AJ461" s="604">
        <f t="shared" si="25"/>
        <v>0.63285961140490454</v>
      </c>
      <c r="AK461" s="734">
        <f t="shared" si="26"/>
        <v>0.35313523497793886</v>
      </c>
      <c r="AL461" s="1327">
        <f t="shared" si="27"/>
        <v>3.7172129997677773E-5</v>
      </c>
      <c r="AM461" s="1328"/>
      <c r="AN461" s="1329">
        <f t="shared" si="28"/>
        <v>6.6600000000000006E-5</v>
      </c>
      <c r="AO461" s="1330"/>
      <c r="AP461" s="553" t="str">
        <f t="shared" si="29"/>
        <v/>
      </c>
      <c r="AQ461" s="556">
        <f>SUM($AG$458:AH460)+(AG461/2)</f>
        <v>2.34</v>
      </c>
      <c r="AR461" s="29"/>
      <c r="AS461" s="871">
        <v>4</v>
      </c>
      <c r="AT461" s="871"/>
      <c r="AU461" s="863">
        <f t="shared" si="14"/>
        <v>4</v>
      </c>
      <c r="AV461" s="864"/>
      <c r="AW461" s="13"/>
      <c r="AX461" s="20"/>
      <c r="AY461" s="20"/>
      <c r="AZ461" s="20"/>
      <c r="BA461" s="20"/>
      <c r="BB461" s="20"/>
      <c r="BC461" s="17"/>
      <c r="BD461" s="17"/>
      <c r="BE461" s="17"/>
      <c r="BF461" s="17"/>
      <c r="BG461" s="17"/>
      <c r="BH461" s="17"/>
      <c r="BI461" s="17"/>
      <c r="BJ461" s="17"/>
    </row>
    <row r="462" spans="1:62" ht="15" customHeight="1">
      <c r="A462" s="136"/>
      <c r="B462" s="569">
        <f t="shared" si="15"/>
        <v>4</v>
      </c>
      <c r="C462" s="526" t="s">
        <v>35</v>
      </c>
      <c r="D462" s="572">
        <f t="shared" si="16"/>
        <v>5</v>
      </c>
      <c r="E462" s="909">
        <f t="shared" si="17"/>
        <v>1</v>
      </c>
      <c r="F462" s="909"/>
      <c r="G462" s="910">
        <f t="shared" si="18"/>
        <v>3.34</v>
      </c>
      <c r="H462" s="910"/>
      <c r="I462" s="910"/>
      <c r="J462" s="912">
        <f t="shared" si="19"/>
        <v>9000</v>
      </c>
      <c r="K462" s="912"/>
      <c r="L462" s="912"/>
      <c r="M462" s="906">
        <f t="shared" si="20"/>
        <v>7.1330836572342071E-2</v>
      </c>
      <c r="N462" s="906"/>
      <c r="O462" s="907">
        <f t="shared" si="21"/>
        <v>7.9000000000000006E-6</v>
      </c>
      <c r="P462" s="907"/>
      <c r="Q462" s="908"/>
      <c r="S462" s="264"/>
      <c r="T462" s="264"/>
      <c r="U462" s="264"/>
      <c r="V462" s="264"/>
      <c r="X462" s="264"/>
      <c r="Y462" s="264"/>
      <c r="Z462" s="264"/>
      <c r="AD462" s="41">
        <f>+AF461</f>
        <v>4</v>
      </c>
      <c r="AE462" s="24" t="s">
        <v>35</v>
      </c>
      <c r="AF462" s="551">
        <f t="shared" si="22"/>
        <v>5</v>
      </c>
      <c r="AG462" s="865">
        <f t="shared" si="23"/>
        <v>1</v>
      </c>
      <c r="AH462" s="866"/>
      <c r="AI462" s="592">
        <f t="shared" si="24"/>
        <v>9000</v>
      </c>
      <c r="AJ462" s="604">
        <f t="shared" si="25"/>
        <v>0.50778854195729495</v>
      </c>
      <c r="AK462" s="734">
        <f t="shared" si="26"/>
        <v>7.1330836572342071E-2</v>
      </c>
      <c r="AL462" s="1327">
        <f t="shared" si="27"/>
        <v>7.9256485080380074E-6</v>
      </c>
      <c r="AM462" s="1328"/>
      <c r="AN462" s="1329">
        <f t="shared" si="28"/>
        <v>5.6400000000000002E-5</v>
      </c>
      <c r="AO462" s="1330"/>
      <c r="AP462" s="553" t="str">
        <f t="shared" si="29"/>
        <v/>
      </c>
      <c r="AQ462" s="556">
        <f>SUM($AG$458:AH461)+(AG462/2)</f>
        <v>3.34</v>
      </c>
      <c r="AR462" s="29"/>
      <c r="AS462" s="871">
        <v>5</v>
      </c>
      <c r="AT462" s="871"/>
      <c r="AU462" s="863">
        <f t="shared" si="14"/>
        <v>3</v>
      </c>
      <c r="AV462" s="864"/>
      <c r="AW462" s="13"/>
      <c r="AX462" s="15"/>
      <c r="AY462" s="16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</row>
    <row r="463" spans="1:62" ht="15" customHeight="1">
      <c r="A463" s="136"/>
      <c r="B463" s="569">
        <f t="shared" si="15"/>
        <v>5</v>
      </c>
      <c r="C463" s="526" t="s">
        <v>35</v>
      </c>
      <c r="D463" s="572">
        <f t="shared" si="16"/>
        <v>6</v>
      </c>
      <c r="E463" s="909">
        <f t="shared" si="17"/>
        <v>1</v>
      </c>
      <c r="F463" s="909"/>
      <c r="G463" s="910">
        <f t="shared" si="18"/>
        <v>4.34</v>
      </c>
      <c r="H463" s="910"/>
      <c r="I463" s="910"/>
      <c r="J463" s="912">
        <f t="shared" si="19"/>
        <v>13000</v>
      </c>
      <c r="K463" s="912"/>
      <c r="L463" s="912"/>
      <c r="M463" s="906">
        <f t="shared" si="20"/>
        <v>-0.21047356183325472</v>
      </c>
      <c r="N463" s="906"/>
      <c r="O463" s="907">
        <f t="shared" si="21"/>
        <v>0</v>
      </c>
      <c r="P463" s="907"/>
      <c r="Q463" s="908"/>
      <c r="S463" s="264"/>
      <c r="T463" s="264"/>
      <c r="U463" s="264"/>
      <c r="V463" s="264"/>
      <c r="X463" s="264"/>
      <c r="Y463" s="264"/>
      <c r="Z463" s="264"/>
      <c r="AD463" s="41">
        <f t="shared" ref="AD463:AD465" si="31">+AF462</f>
        <v>5</v>
      </c>
      <c r="AE463" s="24" t="s">
        <v>35</v>
      </c>
      <c r="AF463" s="551">
        <f t="shared" si="22"/>
        <v>6</v>
      </c>
      <c r="AG463" s="865">
        <f>AF463-AD463</f>
        <v>1</v>
      </c>
      <c r="AH463" s="866"/>
      <c r="AI463" s="592">
        <f t="shared" si="24"/>
        <v>13000</v>
      </c>
      <c r="AJ463" s="604">
        <f t="shared" si="25"/>
        <v>0.38271747250968535</v>
      </c>
      <c r="AK463" s="734">
        <f t="shared" si="26"/>
        <v>-0.21047356183325472</v>
      </c>
      <c r="AL463" s="1327">
        <f t="shared" si="27"/>
        <v>0</v>
      </c>
      <c r="AM463" s="1328"/>
      <c r="AN463" s="1329">
        <f t="shared" si="28"/>
        <v>2.94E-5</v>
      </c>
      <c r="AO463" s="1330"/>
      <c r="AP463" s="553" t="str">
        <f t="shared" si="29"/>
        <v/>
      </c>
      <c r="AQ463" s="556">
        <f>SUM($AG$458:AH462)+(AG463/2)</f>
        <v>4.34</v>
      </c>
      <c r="AR463" s="29"/>
      <c r="AS463" s="871">
        <v>6</v>
      </c>
      <c r="AT463" s="871"/>
      <c r="AU463" s="863">
        <f t="shared" si="14"/>
        <v>11</v>
      </c>
      <c r="AV463" s="864"/>
      <c r="AW463" s="13"/>
      <c r="AX463" s="20"/>
      <c r="AY463" s="20"/>
      <c r="AZ463" s="20"/>
      <c r="BA463" s="20"/>
      <c r="BB463" s="20"/>
      <c r="BC463" s="21"/>
      <c r="BD463" s="21"/>
      <c r="BE463" s="21"/>
      <c r="BF463" s="21"/>
      <c r="BG463" s="21"/>
      <c r="BH463" s="20"/>
      <c r="BI463" s="20"/>
      <c r="BJ463" s="20"/>
    </row>
    <row r="464" spans="1:62" ht="15" customHeight="1">
      <c r="A464" s="136"/>
      <c r="B464" s="569">
        <f t="shared" si="15"/>
        <v>6</v>
      </c>
      <c r="C464" s="526" t="s">
        <v>35</v>
      </c>
      <c r="D464" s="572">
        <f t="shared" si="16"/>
        <v>7</v>
      </c>
      <c r="E464" s="909">
        <f t="shared" si="17"/>
        <v>1</v>
      </c>
      <c r="F464" s="909"/>
      <c r="G464" s="910">
        <f t="shared" si="18"/>
        <v>5.34</v>
      </c>
      <c r="H464" s="910"/>
      <c r="I464" s="910"/>
      <c r="J464" s="912">
        <f t="shared" si="19"/>
        <v>299600</v>
      </c>
      <c r="K464" s="912"/>
      <c r="L464" s="912"/>
      <c r="M464" s="906">
        <f t="shared" si="20"/>
        <v>-0.49227796023885162</v>
      </c>
      <c r="N464" s="906"/>
      <c r="O464" s="907">
        <f t="shared" si="21"/>
        <v>0</v>
      </c>
      <c r="P464" s="907"/>
      <c r="Q464" s="908"/>
      <c r="S464" s="264"/>
      <c r="T464" s="264"/>
      <c r="U464" s="264"/>
      <c r="V464" s="264"/>
      <c r="X464" s="264"/>
      <c r="Y464" s="264"/>
      <c r="Z464" s="264"/>
      <c r="AD464" s="41">
        <f t="shared" si="31"/>
        <v>6</v>
      </c>
      <c r="AE464" s="24" t="s">
        <v>35</v>
      </c>
      <c r="AF464" s="551">
        <f t="shared" si="22"/>
        <v>7</v>
      </c>
      <c r="AG464" s="865">
        <f>AF464-AD464</f>
        <v>1</v>
      </c>
      <c r="AH464" s="866"/>
      <c r="AI464" s="592">
        <f t="shared" si="24"/>
        <v>299600</v>
      </c>
      <c r="AJ464" s="604">
        <f t="shared" si="25"/>
        <v>0.25764640306207576</v>
      </c>
      <c r="AK464" s="734">
        <f t="shared" si="26"/>
        <v>-0.49227796023885162</v>
      </c>
      <c r="AL464" s="1327">
        <f t="shared" si="27"/>
        <v>0</v>
      </c>
      <c r="AM464" s="1328"/>
      <c r="AN464" s="1329">
        <f t="shared" si="28"/>
        <v>8.9999999999999996E-7</v>
      </c>
      <c r="AO464" s="1330"/>
      <c r="AP464" s="553" t="str">
        <f t="shared" si="29"/>
        <v/>
      </c>
      <c r="AQ464" s="556">
        <f>SUM($AG$458:AH463)+(AG464/2)</f>
        <v>5.34</v>
      </c>
      <c r="AR464" s="29"/>
      <c r="AS464" s="871">
        <v>7</v>
      </c>
      <c r="AT464" s="871"/>
      <c r="AU464" s="863">
        <f t="shared" si="14"/>
        <v>214</v>
      </c>
      <c r="AV464" s="864"/>
      <c r="AW464" s="13"/>
      <c r="AX464" s="20"/>
      <c r="AY464" s="20"/>
      <c r="AZ464" s="20"/>
      <c r="BA464" s="20"/>
      <c r="BB464" s="20"/>
      <c r="BC464" s="17"/>
      <c r="BD464" s="17"/>
      <c r="BE464" s="17"/>
      <c r="BF464" s="17"/>
      <c r="BG464" s="17"/>
      <c r="BH464" s="17"/>
      <c r="BI464" s="17"/>
      <c r="BJ464" s="17"/>
    </row>
    <row r="465" spans="1:62" ht="15" customHeight="1">
      <c r="A465" s="136"/>
      <c r="B465" s="569"/>
      <c r="C465" s="526"/>
      <c r="D465" s="572"/>
      <c r="E465" s="909"/>
      <c r="F465" s="909"/>
      <c r="G465" s="910"/>
      <c r="H465" s="910"/>
      <c r="I465" s="910"/>
      <c r="J465" s="912"/>
      <c r="K465" s="912"/>
      <c r="L465" s="912"/>
      <c r="M465" s="906"/>
      <c r="N465" s="906"/>
      <c r="O465" s="907"/>
      <c r="P465" s="907"/>
      <c r="Q465" s="908"/>
      <c r="S465" s="264"/>
      <c r="T465" s="264"/>
      <c r="U465" s="264"/>
      <c r="V465" s="264"/>
      <c r="X465" s="264"/>
      <c r="Y465" s="264"/>
      <c r="Z465" s="264"/>
      <c r="AD465" s="41">
        <f t="shared" si="31"/>
        <v>7</v>
      </c>
      <c r="AE465" s="24" t="s">
        <v>35</v>
      </c>
      <c r="AF465" s="551">
        <f t="shared" si="22"/>
        <v>8</v>
      </c>
      <c r="AG465" s="865">
        <f>AF465-AD465</f>
        <v>1</v>
      </c>
      <c r="AH465" s="866"/>
      <c r="AI465" s="592">
        <f t="shared" si="24"/>
        <v>525000</v>
      </c>
      <c r="AJ465" s="604">
        <f t="shared" si="25"/>
        <v>0.13257533361446627</v>
      </c>
      <c r="AK465" s="734">
        <f t="shared" si="26"/>
        <v>-0.7740823586444483</v>
      </c>
      <c r="AL465" s="1327">
        <f t="shared" si="27"/>
        <v>0</v>
      </c>
      <c r="AM465" s="1328"/>
      <c r="AN465" s="1329">
        <f t="shared" si="28"/>
        <v>2.9999999999999999E-7</v>
      </c>
      <c r="AO465" s="1330"/>
      <c r="AP465" s="553" t="str">
        <f t="shared" si="29"/>
        <v/>
      </c>
      <c r="AQ465" s="556">
        <f>SUM($AG$458:AH464)+(AG465/2)</f>
        <v>6.34</v>
      </c>
      <c r="AR465" s="29"/>
      <c r="AS465" s="871">
        <v>8</v>
      </c>
      <c r="AT465" s="871"/>
      <c r="AU465" s="863">
        <f t="shared" si="14"/>
        <v>375</v>
      </c>
      <c r="AV465" s="864"/>
      <c r="AW465" s="13"/>
      <c r="AX465" s="20"/>
      <c r="AY465" s="20"/>
      <c r="AZ465" s="20"/>
      <c r="BA465" s="20"/>
      <c r="BB465" s="20"/>
      <c r="BC465" s="352"/>
      <c r="BD465" s="352"/>
      <c r="BE465" s="352"/>
      <c r="BF465" s="352"/>
      <c r="BG465" s="352"/>
      <c r="BH465" s="17"/>
      <c r="BI465" s="17"/>
      <c r="BJ465" s="17"/>
    </row>
    <row r="466" spans="1:62" ht="15" customHeight="1">
      <c r="A466" s="136"/>
      <c r="B466" s="569"/>
      <c r="C466" s="526"/>
      <c r="D466" s="572"/>
      <c r="E466" s="909"/>
      <c r="F466" s="909"/>
      <c r="G466" s="910"/>
      <c r="H466" s="910"/>
      <c r="I466" s="910"/>
      <c r="J466" s="912"/>
      <c r="K466" s="912"/>
      <c r="L466" s="912"/>
      <c r="M466" s="906"/>
      <c r="N466" s="906"/>
      <c r="O466" s="907"/>
      <c r="P466" s="907"/>
      <c r="Q466" s="908"/>
      <c r="S466" s="264"/>
      <c r="T466" s="264"/>
      <c r="U466" s="264"/>
      <c r="V466" s="264"/>
      <c r="X466" s="264"/>
      <c r="Y466" s="264"/>
      <c r="Z466" s="264"/>
      <c r="AD466" s="41">
        <f>AF465</f>
        <v>8</v>
      </c>
      <c r="AE466" s="24" t="s">
        <v>35</v>
      </c>
      <c r="AF466" s="551">
        <f t="shared" si="22"/>
        <v>9</v>
      </c>
      <c r="AG466" s="865">
        <f>AF466-AD466</f>
        <v>1</v>
      </c>
      <c r="AH466" s="866"/>
      <c r="AI466" s="592">
        <f t="shared" si="24"/>
        <v>700000.00000000012</v>
      </c>
      <c r="AJ466" s="604">
        <f t="shared" si="25"/>
        <v>7.5042641668566779E-3</v>
      </c>
      <c r="AK466" s="734">
        <f t="shared" si="26"/>
        <v>-1.0558867570500452</v>
      </c>
      <c r="AL466" s="1327">
        <f t="shared" si="27"/>
        <v>0</v>
      </c>
      <c r="AM466" s="1328"/>
      <c r="AN466" s="1329">
        <f t="shared" si="28"/>
        <v>0</v>
      </c>
      <c r="AO466" s="1330"/>
      <c r="AP466" s="553" t="str">
        <f t="shared" si="29"/>
        <v/>
      </c>
      <c r="AQ466" s="556">
        <f>SUM($AG$458:AH465)+(AG466/2)</f>
        <v>7.34</v>
      </c>
      <c r="AR466" s="29"/>
      <c r="AS466" s="871">
        <v>9</v>
      </c>
      <c r="AT466" s="871"/>
      <c r="AU466" s="863">
        <f t="shared" si="14"/>
        <v>500.00000000000006</v>
      </c>
      <c r="AV466" s="864"/>
      <c r="AW466" s="13"/>
      <c r="AX466" s="20"/>
      <c r="AY466" s="20"/>
      <c r="AZ466" s="20"/>
      <c r="BA466" s="20"/>
      <c r="BB466" s="20"/>
      <c r="BC466" s="17"/>
      <c r="BD466" s="17"/>
      <c r="BE466" s="17"/>
      <c r="BF466" s="17"/>
      <c r="BG466" s="17"/>
      <c r="BH466" s="17"/>
      <c r="BI466" s="17"/>
      <c r="BJ466" s="17"/>
    </row>
    <row r="467" spans="1:62" ht="15" customHeight="1">
      <c r="A467" s="136"/>
      <c r="B467" s="569"/>
      <c r="C467" s="526"/>
      <c r="D467" s="572"/>
      <c r="E467" s="909"/>
      <c r="F467" s="909"/>
      <c r="G467" s="910"/>
      <c r="H467" s="910"/>
      <c r="I467" s="910"/>
      <c r="J467" s="912"/>
      <c r="K467" s="912"/>
      <c r="L467" s="912"/>
      <c r="M467" s="906"/>
      <c r="N467" s="906"/>
      <c r="O467" s="907"/>
      <c r="P467" s="907"/>
      <c r="Q467" s="908"/>
      <c r="S467" s="264"/>
      <c r="T467" s="264"/>
      <c r="U467" s="264"/>
      <c r="V467" s="264"/>
      <c r="X467" s="264"/>
      <c r="Y467" s="264"/>
      <c r="Z467" s="264"/>
      <c r="AD467" s="41">
        <f>AF466</f>
        <v>9</v>
      </c>
      <c r="AE467" s="24" t="s">
        <v>35</v>
      </c>
      <c r="AF467" s="551">
        <f t="shared" si="22"/>
        <v>10</v>
      </c>
      <c r="AG467" s="865">
        <f>AF467-AD467</f>
        <v>1</v>
      </c>
      <c r="AH467" s="866"/>
      <c r="AI467" s="592">
        <f t="shared" si="24"/>
        <v>700000.00000000012</v>
      </c>
      <c r="AJ467" s="604">
        <f t="shared" si="25"/>
        <v>-0.11756680528075281</v>
      </c>
      <c r="AK467" s="734">
        <f t="shared" si="26"/>
        <v>-1.3376911554556419</v>
      </c>
      <c r="AL467" s="1327">
        <f t="shared" si="27"/>
        <v>0</v>
      </c>
      <c r="AM467" s="1328"/>
      <c r="AN467" s="1329">
        <f t="shared" si="28"/>
        <v>0</v>
      </c>
      <c r="AO467" s="1330"/>
      <c r="AP467" s="553" t="str">
        <f t="shared" si="29"/>
        <v/>
      </c>
      <c r="AQ467" s="556">
        <f>SUM($AG$458:AH466)+(AG467/2)</f>
        <v>8.34</v>
      </c>
      <c r="AR467" s="29"/>
      <c r="AS467" s="871">
        <v>10</v>
      </c>
      <c r="AT467" s="871"/>
      <c r="AU467" s="863">
        <f t="shared" si="14"/>
        <v>500.00000000000006</v>
      </c>
      <c r="AV467" s="864"/>
      <c r="AW467" s="40"/>
      <c r="AX467" s="20"/>
      <c r="AY467" s="20"/>
      <c r="AZ467" s="20"/>
      <c r="BA467" s="20"/>
      <c r="BB467" s="20"/>
      <c r="BC467" s="17"/>
      <c r="BD467" s="17"/>
      <c r="BE467" s="17"/>
      <c r="BF467" s="17"/>
      <c r="BG467" s="17"/>
      <c r="BH467" s="17"/>
      <c r="BI467" s="17"/>
      <c r="BJ467" s="17"/>
    </row>
    <row r="468" spans="1:62" ht="15" customHeight="1">
      <c r="A468" s="136"/>
      <c r="B468" s="569"/>
      <c r="C468" s="526"/>
      <c r="D468" s="572"/>
      <c r="E468" s="909"/>
      <c r="F468" s="909"/>
      <c r="G468" s="910"/>
      <c r="H468" s="910"/>
      <c r="I468" s="910"/>
      <c r="J468" s="912"/>
      <c r="K468" s="912"/>
      <c r="L468" s="912"/>
      <c r="M468" s="906"/>
      <c r="N468" s="906"/>
      <c r="O468" s="907"/>
      <c r="P468" s="907"/>
      <c r="Q468" s="908"/>
      <c r="S468" s="264"/>
      <c r="T468" s="264"/>
      <c r="U468" s="264"/>
      <c r="V468" s="264"/>
      <c r="X468" s="264"/>
      <c r="Y468" s="264"/>
      <c r="Z468" s="264"/>
      <c r="AD468" s="41">
        <f t="shared" ref="AD468:AD483" si="32">AF467</f>
        <v>10</v>
      </c>
      <c r="AE468" s="24" t="s">
        <v>35</v>
      </c>
      <c r="AF468" s="551">
        <f t="shared" si="22"/>
        <v>11</v>
      </c>
      <c r="AG468" s="865">
        <f t="shared" ref="AG468:AG483" si="33">AF468-AD468</f>
        <v>1</v>
      </c>
      <c r="AH468" s="866"/>
      <c r="AI468" s="592">
        <f t="shared" si="24"/>
        <v>1050000</v>
      </c>
      <c r="AJ468" s="604">
        <f t="shared" si="25"/>
        <v>-0.2426378747283624</v>
      </c>
      <c r="AK468" s="734">
        <f t="shared" si="26"/>
        <v>-1.6194955538612386</v>
      </c>
      <c r="AL468" s="1327">
        <f t="shared" si="27"/>
        <v>0</v>
      </c>
      <c r="AM468" s="1328"/>
      <c r="AN468" s="1329">
        <f t="shared" si="28"/>
        <v>0</v>
      </c>
      <c r="AO468" s="1330"/>
      <c r="AP468" s="553" t="str">
        <f t="shared" si="29"/>
        <v/>
      </c>
      <c r="AQ468" s="556">
        <f>SUM($AG$458:AH467)+(AG468/2)</f>
        <v>9.34</v>
      </c>
      <c r="AR468" s="44"/>
      <c r="AS468" s="871">
        <v>11</v>
      </c>
      <c r="AT468" s="871"/>
      <c r="AU468" s="863">
        <f t="shared" si="14"/>
        <v>750</v>
      </c>
      <c r="AV468" s="864"/>
      <c r="AW468" s="40"/>
      <c r="AX468" s="20"/>
      <c r="AY468" s="20"/>
      <c r="AZ468" s="20"/>
      <c r="BA468" s="20"/>
      <c r="BB468" s="20"/>
      <c r="BC468" s="17"/>
      <c r="BD468" s="17"/>
      <c r="BE468" s="17"/>
      <c r="BF468" s="17"/>
      <c r="BG468" s="17"/>
      <c r="BH468" s="17"/>
      <c r="BI468" s="17"/>
      <c r="BJ468" s="17"/>
    </row>
    <row r="469" spans="1:62" ht="15" customHeight="1">
      <c r="A469" s="136"/>
      <c r="B469" s="569"/>
      <c r="C469" s="526"/>
      <c r="D469" s="572"/>
      <c r="E469" s="909"/>
      <c r="F469" s="909"/>
      <c r="G469" s="910"/>
      <c r="H469" s="910"/>
      <c r="I469" s="910"/>
      <c r="J469" s="912"/>
      <c r="K469" s="912"/>
      <c r="L469" s="912"/>
      <c r="M469" s="906"/>
      <c r="N469" s="906"/>
      <c r="O469" s="907"/>
      <c r="P469" s="907"/>
      <c r="Q469" s="908"/>
      <c r="S469" s="264"/>
      <c r="T469" s="264"/>
      <c r="U469" s="264"/>
      <c r="V469" s="264"/>
      <c r="X469" s="264"/>
      <c r="Y469" s="264"/>
      <c r="Z469" s="264"/>
      <c r="AD469" s="41">
        <f t="shared" si="32"/>
        <v>11</v>
      </c>
      <c r="AE469" s="24" t="s">
        <v>35</v>
      </c>
      <c r="AF469" s="551">
        <f t="shared" si="22"/>
        <v>12</v>
      </c>
      <c r="AG469" s="865">
        <f t="shared" si="33"/>
        <v>1</v>
      </c>
      <c r="AH469" s="866"/>
      <c r="AI469" s="592">
        <f t="shared" si="24"/>
        <v>1050000</v>
      </c>
      <c r="AJ469" s="604">
        <f t="shared" si="25"/>
        <v>-0.367708944175972</v>
      </c>
      <c r="AK469" s="734">
        <f t="shared" si="26"/>
        <v>-1.9012999522668357</v>
      </c>
      <c r="AL469" s="1327">
        <f t="shared" si="27"/>
        <v>0</v>
      </c>
      <c r="AM469" s="1328"/>
      <c r="AN469" s="1329">
        <f t="shared" si="28"/>
        <v>0</v>
      </c>
      <c r="AO469" s="1330"/>
      <c r="AP469" s="553" t="str">
        <f t="shared" si="29"/>
        <v/>
      </c>
      <c r="AQ469" s="556">
        <f>SUM($AG$458:AH468)+(AG469/2)</f>
        <v>10.34</v>
      </c>
      <c r="AR469" s="52"/>
      <c r="AS469" s="871">
        <v>12</v>
      </c>
      <c r="AT469" s="871"/>
      <c r="AU469" s="863">
        <f t="shared" si="14"/>
        <v>750</v>
      </c>
      <c r="AV469" s="864"/>
      <c r="AW469" s="40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</row>
    <row r="470" spans="1:62" ht="15" customHeight="1">
      <c r="A470" s="136"/>
      <c r="B470" s="569"/>
      <c r="C470" s="526"/>
      <c r="D470" s="572"/>
      <c r="E470" s="909"/>
      <c r="F470" s="909"/>
      <c r="G470" s="910"/>
      <c r="H470" s="910"/>
      <c r="I470" s="910"/>
      <c r="J470" s="912"/>
      <c r="K470" s="912"/>
      <c r="L470" s="912"/>
      <c r="M470" s="906"/>
      <c r="N470" s="906"/>
      <c r="O470" s="907"/>
      <c r="P470" s="907"/>
      <c r="Q470" s="908"/>
      <c r="S470" s="264"/>
      <c r="T470" s="264"/>
      <c r="U470" s="264"/>
      <c r="V470" s="264"/>
      <c r="X470" s="264"/>
      <c r="Y470" s="264"/>
      <c r="Z470" s="264"/>
      <c r="AD470" s="41">
        <f t="shared" si="32"/>
        <v>12</v>
      </c>
      <c r="AE470" s="24" t="s">
        <v>35</v>
      </c>
      <c r="AF470" s="551">
        <f t="shared" si="22"/>
        <v>13</v>
      </c>
      <c r="AG470" s="865">
        <f t="shared" si="33"/>
        <v>1</v>
      </c>
      <c r="AH470" s="866"/>
      <c r="AI470" s="592">
        <f t="shared" si="24"/>
        <v>1050000</v>
      </c>
      <c r="AJ470" s="604">
        <f t="shared" si="25"/>
        <v>-0.49278001362358159</v>
      </c>
      <c r="AK470" s="734">
        <f t="shared" si="26"/>
        <v>-2.1831043506724326</v>
      </c>
      <c r="AL470" s="1327">
        <f t="shared" si="27"/>
        <v>0</v>
      </c>
      <c r="AM470" s="1328"/>
      <c r="AN470" s="1329">
        <f t="shared" si="28"/>
        <v>0</v>
      </c>
      <c r="AO470" s="1330"/>
      <c r="AP470" s="553" t="str">
        <f t="shared" si="29"/>
        <v/>
      </c>
      <c r="AQ470" s="556">
        <f>SUM($AG$458:AH469)+(AG470/2)</f>
        <v>11.34</v>
      </c>
      <c r="AR470" s="57"/>
      <c r="AS470" s="871">
        <v>13</v>
      </c>
      <c r="AT470" s="871"/>
      <c r="AU470" s="863">
        <f t="shared" si="14"/>
        <v>750</v>
      </c>
      <c r="AV470" s="864"/>
      <c r="AW470" s="40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</row>
    <row r="471" spans="1:62" ht="15" customHeight="1">
      <c r="A471" s="136"/>
      <c r="B471" s="569"/>
      <c r="C471" s="526"/>
      <c r="D471" s="572"/>
      <c r="E471" s="909"/>
      <c r="F471" s="909"/>
      <c r="G471" s="910"/>
      <c r="H471" s="910"/>
      <c r="I471" s="910"/>
      <c r="J471" s="912"/>
      <c r="K471" s="912"/>
      <c r="L471" s="912"/>
      <c r="M471" s="906"/>
      <c r="N471" s="906"/>
      <c r="O471" s="907"/>
      <c r="P471" s="907"/>
      <c r="Q471" s="908"/>
      <c r="S471" s="264"/>
      <c r="T471" s="264"/>
      <c r="U471" s="264"/>
      <c r="V471" s="264"/>
      <c r="X471" s="264"/>
      <c r="Y471" s="264"/>
      <c r="Z471" s="264"/>
      <c r="AD471" s="41">
        <f t="shared" si="32"/>
        <v>13</v>
      </c>
      <c r="AE471" s="24" t="s">
        <v>35</v>
      </c>
      <c r="AF471" s="551">
        <f t="shared" si="22"/>
        <v>14</v>
      </c>
      <c r="AG471" s="865">
        <f t="shared" si="33"/>
        <v>1</v>
      </c>
      <c r="AH471" s="866"/>
      <c r="AI471" s="592">
        <f t="shared" si="24"/>
        <v>1050000</v>
      </c>
      <c r="AJ471" s="604">
        <f t="shared" si="25"/>
        <v>-0.61785108307119119</v>
      </c>
      <c r="AK471" s="734">
        <f t="shared" si="26"/>
        <v>-2.4649087490780293</v>
      </c>
      <c r="AL471" s="1327">
        <f t="shared" si="27"/>
        <v>0</v>
      </c>
      <c r="AM471" s="1328"/>
      <c r="AN471" s="1329">
        <f t="shared" si="28"/>
        <v>0</v>
      </c>
      <c r="AO471" s="1330"/>
      <c r="AP471" s="553" t="str">
        <f t="shared" si="29"/>
        <v/>
      </c>
      <c r="AQ471" s="556">
        <f>SUM($AG$458:AH470)+(AG471/2)</f>
        <v>12.34</v>
      </c>
      <c r="AR471" s="57"/>
      <c r="AS471" s="871">
        <v>14</v>
      </c>
      <c r="AT471" s="871"/>
      <c r="AU471" s="863">
        <f t="shared" si="14"/>
        <v>750</v>
      </c>
      <c r="AV471" s="864"/>
      <c r="AW471" s="40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</row>
    <row r="472" spans="1:62" ht="15" customHeight="1">
      <c r="A472" s="136"/>
      <c r="B472" s="569"/>
      <c r="C472" s="526"/>
      <c r="D472" s="572"/>
      <c r="E472" s="909"/>
      <c r="F472" s="909"/>
      <c r="G472" s="910"/>
      <c r="H472" s="910"/>
      <c r="I472" s="910"/>
      <c r="J472" s="912"/>
      <c r="K472" s="912"/>
      <c r="L472" s="912"/>
      <c r="M472" s="906"/>
      <c r="N472" s="906"/>
      <c r="O472" s="907"/>
      <c r="P472" s="907"/>
      <c r="Q472" s="908"/>
      <c r="S472" s="264"/>
      <c r="T472" s="264"/>
      <c r="U472" s="264"/>
      <c r="V472" s="264"/>
      <c r="X472" s="264"/>
      <c r="Y472" s="264"/>
      <c r="Z472" s="264"/>
      <c r="AD472" s="41">
        <f t="shared" si="32"/>
        <v>14</v>
      </c>
      <c r="AE472" s="24" t="s">
        <v>35</v>
      </c>
      <c r="AF472" s="551">
        <f t="shared" si="22"/>
        <v>15</v>
      </c>
      <c r="AG472" s="865">
        <f t="shared" si="33"/>
        <v>1</v>
      </c>
      <c r="AH472" s="866"/>
      <c r="AI472" s="592">
        <f t="shared" si="24"/>
        <v>1050000</v>
      </c>
      <c r="AJ472" s="604">
        <f t="shared" si="25"/>
        <v>-0.74292215251880078</v>
      </c>
      <c r="AK472" s="734">
        <f t="shared" si="26"/>
        <v>-2.7467131474836259</v>
      </c>
      <c r="AL472" s="1327">
        <f t="shared" si="27"/>
        <v>0</v>
      </c>
      <c r="AM472" s="1328"/>
      <c r="AN472" s="1329">
        <f t="shared" si="28"/>
        <v>0</v>
      </c>
      <c r="AO472" s="1330"/>
      <c r="AP472" s="553" t="str">
        <f t="shared" si="29"/>
        <v/>
      </c>
      <c r="AQ472" s="556">
        <f>SUM($AG$458:AH471)+(AG472/2)</f>
        <v>13.34</v>
      </c>
      <c r="AR472" s="57"/>
      <c r="AS472" s="871">
        <v>15</v>
      </c>
      <c r="AT472" s="871"/>
      <c r="AU472" s="863">
        <f t="shared" si="14"/>
        <v>750</v>
      </c>
      <c r="AV472" s="864"/>
      <c r="AW472" s="45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</row>
    <row r="473" spans="1:62" ht="15" customHeight="1">
      <c r="A473" s="136"/>
      <c r="B473" s="569"/>
      <c r="C473" s="526"/>
      <c r="D473" s="572"/>
      <c r="E473" s="909"/>
      <c r="F473" s="909"/>
      <c r="G473" s="910"/>
      <c r="H473" s="910"/>
      <c r="I473" s="910"/>
      <c r="J473" s="912"/>
      <c r="K473" s="912"/>
      <c r="L473" s="912"/>
      <c r="M473" s="906"/>
      <c r="N473" s="906"/>
      <c r="O473" s="907"/>
      <c r="P473" s="907"/>
      <c r="Q473" s="908"/>
      <c r="S473" s="264"/>
      <c r="T473" s="264"/>
      <c r="U473" s="264"/>
      <c r="V473" s="264"/>
      <c r="X473" s="264"/>
      <c r="Y473" s="264"/>
      <c r="Z473" s="264"/>
      <c r="AD473" s="41">
        <f t="shared" si="32"/>
        <v>15</v>
      </c>
      <c r="AE473" s="24" t="s">
        <v>35</v>
      </c>
      <c r="AF473" s="551">
        <f t="shared" si="22"/>
        <v>16</v>
      </c>
      <c r="AG473" s="865">
        <f t="shared" si="33"/>
        <v>1</v>
      </c>
      <c r="AH473" s="866"/>
      <c r="AI473" s="592">
        <f t="shared" si="24"/>
        <v>1050000</v>
      </c>
      <c r="AJ473" s="604">
        <f t="shared" si="25"/>
        <v>-0.86799322196641038</v>
      </c>
      <c r="AK473" s="734">
        <f t="shared" si="26"/>
        <v>-3.0285175458892226</v>
      </c>
      <c r="AL473" s="1327">
        <f t="shared" si="27"/>
        <v>0</v>
      </c>
      <c r="AM473" s="1328"/>
      <c r="AN473" s="1329">
        <f t="shared" si="28"/>
        <v>0</v>
      </c>
      <c r="AO473" s="1330"/>
      <c r="AP473" s="553" t="str">
        <f t="shared" si="29"/>
        <v/>
      </c>
      <c r="AQ473" s="556">
        <f>SUM($AG$458:AH472)+(AG473/2)</f>
        <v>14.34</v>
      </c>
      <c r="AR473" s="57"/>
      <c r="AS473" s="871">
        <v>16</v>
      </c>
      <c r="AT473" s="871"/>
      <c r="AU473" s="863">
        <f t="shared" si="14"/>
        <v>750</v>
      </c>
      <c r="AV473" s="864"/>
      <c r="AW473" s="40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</row>
    <row r="474" spans="1:62" ht="15" customHeight="1">
      <c r="A474" s="136"/>
      <c r="B474" s="569"/>
      <c r="C474" s="526"/>
      <c r="D474" s="572"/>
      <c r="E474" s="909"/>
      <c r="F474" s="909"/>
      <c r="G474" s="910"/>
      <c r="H474" s="910"/>
      <c r="I474" s="910"/>
      <c r="J474" s="912"/>
      <c r="K474" s="912"/>
      <c r="L474" s="912"/>
      <c r="M474" s="906"/>
      <c r="N474" s="906"/>
      <c r="O474" s="907"/>
      <c r="P474" s="907"/>
      <c r="Q474" s="908"/>
      <c r="S474" s="264"/>
      <c r="T474" s="264"/>
      <c r="U474" s="264"/>
      <c r="V474" s="264"/>
      <c r="X474" s="264"/>
      <c r="Y474" s="264"/>
      <c r="Z474" s="264"/>
      <c r="AD474" s="41">
        <f t="shared" si="32"/>
        <v>16</v>
      </c>
      <c r="AE474" s="24" t="s">
        <v>35</v>
      </c>
      <c r="AF474" s="551">
        <f t="shared" si="22"/>
        <v>17</v>
      </c>
      <c r="AG474" s="865">
        <f t="shared" si="33"/>
        <v>1</v>
      </c>
      <c r="AH474" s="866"/>
      <c r="AI474" s="592">
        <f t="shared" si="24"/>
        <v>1050000</v>
      </c>
      <c r="AJ474" s="604">
        <f t="shared" si="25"/>
        <v>-0.99306429141401997</v>
      </c>
      <c r="AK474" s="734">
        <f t="shared" si="26"/>
        <v>-3.3103219442948193</v>
      </c>
      <c r="AL474" s="1327">
        <f t="shared" si="27"/>
        <v>0</v>
      </c>
      <c r="AM474" s="1328"/>
      <c r="AN474" s="1329">
        <f t="shared" si="28"/>
        <v>0</v>
      </c>
      <c r="AO474" s="1330"/>
      <c r="AP474" s="553" t="str">
        <f t="shared" si="29"/>
        <v/>
      </c>
      <c r="AQ474" s="556">
        <f>SUM($AG$458:AH473)+(AG474/2)</f>
        <v>15.34</v>
      </c>
      <c r="AR474" s="57"/>
      <c r="AS474" s="871">
        <v>17</v>
      </c>
      <c r="AT474" s="871"/>
      <c r="AU474" s="863">
        <f t="shared" si="14"/>
        <v>750</v>
      </c>
      <c r="AV474" s="864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</row>
    <row r="475" spans="1:62" ht="15" customHeight="1">
      <c r="A475" s="136"/>
      <c r="B475" s="569"/>
      <c r="C475" s="526"/>
      <c r="D475" s="572"/>
      <c r="E475" s="909"/>
      <c r="F475" s="909"/>
      <c r="G475" s="910"/>
      <c r="H475" s="910"/>
      <c r="I475" s="910"/>
      <c r="J475" s="912"/>
      <c r="K475" s="912"/>
      <c r="L475" s="912"/>
      <c r="M475" s="906"/>
      <c r="N475" s="906"/>
      <c r="O475" s="907"/>
      <c r="P475" s="907"/>
      <c r="Q475" s="908"/>
      <c r="S475" s="264"/>
      <c r="T475" s="264"/>
      <c r="U475" s="264"/>
      <c r="V475" s="264"/>
      <c r="X475" s="264"/>
      <c r="Y475" s="264"/>
      <c r="Z475" s="264"/>
      <c r="AD475" s="41">
        <f t="shared" si="32"/>
        <v>17</v>
      </c>
      <c r="AE475" s="24" t="s">
        <v>35</v>
      </c>
      <c r="AF475" s="551">
        <f t="shared" si="22"/>
        <v>18</v>
      </c>
      <c r="AG475" s="865">
        <f t="shared" si="33"/>
        <v>1</v>
      </c>
      <c r="AH475" s="866"/>
      <c r="AI475" s="592">
        <f t="shared" si="24"/>
        <v>1050000</v>
      </c>
      <c r="AJ475" s="604">
        <f t="shared" si="25"/>
        <v>-1.1181353608616293</v>
      </c>
      <c r="AK475" s="734">
        <f t="shared" si="26"/>
        <v>-3.592126342700416</v>
      </c>
      <c r="AL475" s="1327">
        <f t="shared" si="27"/>
        <v>0</v>
      </c>
      <c r="AM475" s="1328"/>
      <c r="AN475" s="1329">
        <f t="shared" si="28"/>
        <v>0</v>
      </c>
      <c r="AO475" s="1330"/>
      <c r="AP475" s="553" t="str">
        <f t="shared" si="29"/>
        <v/>
      </c>
      <c r="AQ475" s="556">
        <f>SUM($AG$458:AH474)+(AG475/2)</f>
        <v>16.34</v>
      </c>
      <c r="AR475" s="57"/>
      <c r="AS475" s="871">
        <v>18</v>
      </c>
      <c r="AT475" s="871"/>
      <c r="AU475" s="863">
        <f t="shared" si="14"/>
        <v>750</v>
      </c>
      <c r="AV475" s="864"/>
      <c r="AX475" s="20"/>
      <c r="AY475" s="20"/>
      <c r="AZ475" s="20"/>
      <c r="BA475" s="20"/>
      <c r="BB475" s="20"/>
      <c r="BC475" s="17"/>
      <c r="BD475" s="17"/>
      <c r="BE475" s="17"/>
      <c r="BF475" s="17"/>
      <c r="BG475" s="17"/>
      <c r="BH475" s="17"/>
      <c r="BI475" s="17"/>
      <c r="BJ475" s="17"/>
    </row>
    <row r="476" spans="1:62" ht="15" customHeight="1">
      <c r="A476" s="136"/>
      <c r="B476" s="569"/>
      <c r="C476" s="526"/>
      <c r="D476" s="572"/>
      <c r="E476" s="909"/>
      <c r="F476" s="909"/>
      <c r="G476" s="910"/>
      <c r="H476" s="910"/>
      <c r="I476" s="910"/>
      <c r="J476" s="912"/>
      <c r="K476" s="912"/>
      <c r="L476" s="912"/>
      <c r="M476" s="906"/>
      <c r="N476" s="906"/>
      <c r="O476" s="907"/>
      <c r="P476" s="907"/>
      <c r="Q476" s="908"/>
      <c r="S476" s="264"/>
      <c r="T476" s="264"/>
      <c r="U476" s="264"/>
      <c r="V476" s="264"/>
      <c r="X476" s="264"/>
      <c r="Y476" s="264"/>
      <c r="Z476" s="264"/>
      <c r="AD476" s="41">
        <f t="shared" si="32"/>
        <v>18</v>
      </c>
      <c r="AE476" s="24" t="s">
        <v>35</v>
      </c>
      <c r="AF476" s="551">
        <f t="shared" si="22"/>
        <v>19</v>
      </c>
      <c r="AG476" s="865">
        <f t="shared" si="33"/>
        <v>1</v>
      </c>
      <c r="AH476" s="866"/>
      <c r="AI476" s="592">
        <f t="shared" si="24"/>
        <v>1050000</v>
      </c>
      <c r="AJ476" s="604">
        <f t="shared" si="25"/>
        <v>-1.2432064303092389</v>
      </c>
      <c r="AK476" s="734">
        <f t="shared" si="26"/>
        <v>-3.8739307411060127</v>
      </c>
      <c r="AL476" s="1327">
        <f t="shared" si="27"/>
        <v>0</v>
      </c>
      <c r="AM476" s="1328"/>
      <c r="AN476" s="1329">
        <f t="shared" si="28"/>
        <v>0</v>
      </c>
      <c r="AO476" s="1330"/>
      <c r="AP476" s="553" t="str">
        <f t="shared" si="29"/>
        <v/>
      </c>
      <c r="AQ476" s="556">
        <f>SUM($AG$458:AH475)+(AG476/2)</f>
        <v>17.34</v>
      </c>
      <c r="AR476" s="57"/>
      <c r="AS476" s="871">
        <v>19</v>
      </c>
      <c r="AT476" s="871"/>
      <c r="AU476" s="863">
        <f t="shared" si="14"/>
        <v>750</v>
      </c>
      <c r="AV476" s="864"/>
      <c r="AX476" s="20"/>
      <c r="AY476" s="20"/>
      <c r="AZ476" s="20"/>
      <c r="BA476" s="20"/>
      <c r="BB476" s="20"/>
      <c r="BC476" s="21"/>
      <c r="BD476" s="21"/>
      <c r="BE476" s="21"/>
      <c r="BF476" s="21"/>
      <c r="BG476" s="21"/>
      <c r="BH476" s="20"/>
      <c r="BI476" s="20"/>
      <c r="BJ476" s="20"/>
    </row>
    <row r="477" spans="1:62" ht="15" customHeight="1">
      <c r="A477" s="136"/>
      <c r="B477" s="569"/>
      <c r="C477" s="526"/>
      <c r="D477" s="572"/>
      <c r="E477" s="909"/>
      <c r="F477" s="909"/>
      <c r="G477" s="910"/>
      <c r="H477" s="910"/>
      <c r="I477" s="910"/>
      <c r="J477" s="912"/>
      <c r="K477" s="912"/>
      <c r="L477" s="912"/>
      <c r="M477" s="906"/>
      <c r="N477" s="906"/>
      <c r="O477" s="907"/>
      <c r="P477" s="907"/>
      <c r="Q477" s="908"/>
      <c r="S477" s="264"/>
      <c r="T477" s="264"/>
      <c r="U477" s="264"/>
      <c r="V477" s="264"/>
      <c r="X477" s="264"/>
      <c r="Y477" s="264"/>
      <c r="Z477" s="264"/>
      <c r="AD477" s="41">
        <f t="shared" si="32"/>
        <v>19</v>
      </c>
      <c r="AE477" s="24" t="s">
        <v>35</v>
      </c>
      <c r="AF477" s="551">
        <f t="shared" si="22"/>
        <v>20</v>
      </c>
      <c r="AG477" s="865">
        <f t="shared" si="33"/>
        <v>1</v>
      </c>
      <c r="AH477" s="866"/>
      <c r="AI477" s="592">
        <f t="shared" si="24"/>
        <v>1050000</v>
      </c>
      <c r="AJ477" s="604">
        <f t="shared" si="25"/>
        <v>-1.3682774997568485</v>
      </c>
      <c r="AK477" s="734">
        <f t="shared" si="26"/>
        <v>-4.1557351395116093</v>
      </c>
      <c r="AL477" s="1327">
        <f t="shared" si="27"/>
        <v>0</v>
      </c>
      <c r="AM477" s="1328"/>
      <c r="AN477" s="1329">
        <f t="shared" si="28"/>
        <v>0</v>
      </c>
      <c r="AO477" s="1330"/>
      <c r="AP477" s="553" t="str">
        <f t="shared" si="29"/>
        <v/>
      </c>
      <c r="AQ477" s="556">
        <f>SUM($AG$458:AH476)+(AG477/2)</f>
        <v>18.34</v>
      </c>
      <c r="AR477" s="57"/>
      <c r="AS477" s="871">
        <v>20</v>
      </c>
      <c r="AT477" s="871"/>
      <c r="AU477" s="863">
        <f t="shared" si="14"/>
        <v>750</v>
      </c>
      <c r="AV477" s="864"/>
      <c r="AX477" s="1153"/>
      <c r="AY477" s="1153"/>
      <c r="AZ477" s="1153"/>
      <c r="BA477" s="1153"/>
      <c r="BB477" s="1153"/>
      <c r="BC477" s="1063"/>
      <c r="BD477" s="1063"/>
      <c r="BE477" s="1063"/>
      <c r="BF477" s="1063"/>
      <c r="BG477" s="1063"/>
      <c r="BH477" s="1191"/>
      <c r="BI477" s="1191"/>
      <c r="BJ477" s="1191"/>
    </row>
    <row r="478" spans="1:62" ht="15" customHeight="1">
      <c r="A478" s="136"/>
      <c r="B478" s="569"/>
      <c r="C478" s="526"/>
      <c r="D478" s="572"/>
      <c r="E478" s="909"/>
      <c r="F478" s="909"/>
      <c r="G478" s="910"/>
      <c r="H478" s="910"/>
      <c r="I478" s="910"/>
      <c r="J478" s="912"/>
      <c r="K478" s="912"/>
      <c r="L478" s="912"/>
      <c r="M478" s="906"/>
      <c r="N478" s="906"/>
      <c r="O478" s="907"/>
      <c r="P478" s="907"/>
      <c r="Q478" s="908"/>
      <c r="S478" s="264"/>
      <c r="T478" s="264"/>
      <c r="U478" s="264"/>
      <c r="V478" s="264"/>
      <c r="X478" s="264"/>
      <c r="Y478" s="264"/>
      <c r="Z478" s="264"/>
      <c r="AD478" s="41">
        <f t="shared" si="32"/>
        <v>20</v>
      </c>
      <c r="AE478" s="24" t="s">
        <v>35</v>
      </c>
      <c r="AF478" s="551">
        <f t="shared" si="22"/>
        <v>21</v>
      </c>
      <c r="AG478" s="865">
        <f t="shared" si="33"/>
        <v>1</v>
      </c>
      <c r="AH478" s="866"/>
      <c r="AI478" s="592">
        <f t="shared" si="24"/>
        <v>1050000</v>
      </c>
      <c r="AJ478" s="604">
        <f t="shared" si="25"/>
        <v>-1.4933485692044581</v>
      </c>
      <c r="AK478" s="734">
        <f t="shared" si="26"/>
        <v>-4.437539537917206</v>
      </c>
      <c r="AL478" s="1327">
        <f t="shared" si="27"/>
        <v>0</v>
      </c>
      <c r="AM478" s="1328"/>
      <c r="AN478" s="1329">
        <f t="shared" si="28"/>
        <v>0</v>
      </c>
      <c r="AO478" s="1330"/>
      <c r="AP478" s="553" t="str">
        <f t="shared" si="29"/>
        <v/>
      </c>
      <c r="AQ478" s="556">
        <f>SUM($AG$458:AH477)+(AG478/2)</f>
        <v>19.34</v>
      </c>
      <c r="AR478" s="57"/>
      <c r="AS478" s="871">
        <v>21</v>
      </c>
      <c r="AT478" s="871"/>
      <c r="AU478" s="863">
        <f t="shared" si="14"/>
        <v>750</v>
      </c>
      <c r="AV478" s="864"/>
      <c r="AX478" s="1153"/>
      <c r="AY478" s="1153"/>
      <c r="AZ478" s="1153"/>
      <c r="BA478" s="1153"/>
      <c r="BB478" s="1153"/>
      <c r="BC478" s="1203"/>
      <c r="BD478" s="1203"/>
      <c r="BE478" s="1203"/>
      <c r="BF478" s="1203"/>
      <c r="BG478" s="1203"/>
      <c r="BH478" s="1063"/>
      <c r="BI478" s="1063"/>
      <c r="BJ478" s="1063"/>
    </row>
    <row r="479" spans="1:62" ht="15" customHeight="1">
      <c r="A479" s="136"/>
      <c r="B479" s="569"/>
      <c r="C479" s="526"/>
      <c r="D479" s="572"/>
      <c r="E479" s="909"/>
      <c r="F479" s="909"/>
      <c r="G479" s="910"/>
      <c r="H479" s="910"/>
      <c r="I479" s="910"/>
      <c r="J479" s="912"/>
      <c r="K479" s="912"/>
      <c r="L479" s="912"/>
      <c r="M479" s="906"/>
      <c r="N479" s="906"/>
      <c r="O479" s="907"/>
      <c r="P479" s="907"/>
      <c r="Q479" s="908"/>
      <c r="S479" s="264"/>
      <c r="T479" s="264"/>
      <c r="U479" s="264"/>
      <c r="V479" s="264"/>
      <c r="X479" s="264"/>
      <c r="Y479" s="264"/>
      <c r="Z479" s="264"/>
      <c r="AD479" s="41">
        <f t="shared" si="32"/>
        <v>21</v>
      </c>
      <c r="AE479" s="24" t="s">
        <v>35</v>
      </c>
      <c r="AF479" s="551">
        <f t="shared" si="22"/>
        <v>22</v>
      </c>
      <c r="AG479" s="865">
        <f t="shared" si="33"/>
        <v>1</v>
      </c>
      <c r="AH479" s="866"/>
      <c r="AI479" s="592">
        <f t="shared" si="24"/>
        <v>1050000</v>
      </c>
      <c r="AJ479" s="604">
        <f t="shared" si="25"/>
        <v>-1.6184196386520677</v>
      </c>
      <c r="AK479" s="734">
        <f t="shared" si="26"/>
        <v>-4.7193439363228036</v>
      </c>
      <c r="AL479" s="1327">
        <f t="shared" si="27"/>
        <v>0</v>
      </c>
      <c r="AM479" s="1328"/>
      <c r="AN479" s="1329">
        <f t="shared" si="28"/>
        <v>0</v>
      </c>
      <c r="AO479" s="1330"/>
      <c r="AP479" s="553" t="str">
        <f t="shared" si="29"/>
        <v/>
      </c>
      <c r="AQ479" s="556">
        <f>SUM($AG$458:AH478)+(AG479/2)</f>
        <v>20.34</v>
      </c>
      <c r="AR479" s="57"/>
      <c r="AS479" s="871">
        <v>22</v>
      </c>
      <c r="AT479" s="871"/>
      <c r="AU479" s="863">
        <f t="shared" si="14"/>
        <v>750</v>
      </c>
      <c r="AV479" s="864"/>
      <c r="AX479" s="1153"/>
      <c r="AY479" s="1153"/>
      <c r="AZ479" s="1153"/>
      <c r="BA479" s="1153"/>
      <c r="BB479" s="1153"/>
      <c r="BC479" s="1063"/>
      <c r="BD479" s="1063"/>
      <c r="BE479" s="1063"/>
      <c r="BF479" s="1063"/>
      <c r="BG479" s="1063"/>
      <c r="BH479" s="1063"/>
      <c r="BI479" s="1063"/>
      <c r="BJ479" s="1063"/>
    </row>
    <row r="480" spans="1:62" ht="15" customHeight="1">
      <c r="A480" s="136"/>
      <c r="B480" s="569"/>
      <c r="C480" s="526"/>
      <c r="D480" s="572"/>
      <c r="E480" s="909"/>
      <c r="F480" s="909"/>
      <c r="G480" s="910"/>
      <c r="H480" s="910"/>
      <c r="I480" s="910"/>
      <c r="J480" s="912"/>
      <c r="K480" s="912"/>
      <c r="L480" s="912"/>
      <c r="M480" s="906"/>
      <c r="N480" s="906"/>
      <c r="O480" s="907"/>
      <c r="P480" s="907"/>
      <c r="Q480" s="908"/>
      <c r="S480" s="264"/>
      <c r="T480" s="264"/>
      <c r="U480" s="264"/>
      <c r="V480" s="264"/>
      <c r="X480" s="264"/>
      <c r="Y480" s="264"/>
      <c r="Z480" s="264"/>
      <c r="AD480" s="41">
        <f t="shared" si="32"/>
        <v>22</v>
      </c>
      <c r="AE480" s="24" t="s">
        <v>35</v>
      </c>
      <c r="AF480" s="551">
        <f t="shared" si="22"/>
        <v>23</v>
      </c>
      <c r="AG480" s="865">
        <f t="shared" si="33"/>
        <v>1</v>
      </c>
      <c r="AH480" s="866"/>
      <c r="AI480" s="592">
        <f t="shared" si="24"/>
        <v>1050000</v>
      </c>
      <c r="AJ480" s="604">
        <f t="shared" si="25"/>
        <v>-1.7434907080996773</v>
      </c>
      <c r="AK480" s="734">
        <f t="shared" si="26"/>
        <v>-5.0011483347284003</v>
      </c>
      <c r="AL480" s="1327">
        <f t="shared" si="27"/>
        <v>0</v>
      </c>
      <c r="AM480" s="1328"/>
      <c r="AN480" s="1329">
        <f t="shared" si="28"/>
        <v>0</v>
      </c>
      <c r="AO480" s="1330"/>
      <c r="AP480" s="553" t="str">
        <f t="shared" si="29"/>
        <v/>
      </c>
      <c r="AQ480" s="556">
        <f>SUM($AG$458:AH479)+(AG480/2)</f>
        <v>21.34</v>
      </c>
      <c r="AR480" s="57"/>
      <c r="AS480" s="871">
        <v>23</v>
      </c>
      <c r="AT480" s="871"/>
      <c r="AU480" s="863">
        <f t="shared" si="14"/>
        <v>750</v>
      </c>
      <c r="AV480" s="864"/>
      <c r="AX480" s="1153"/>
      <c r="AY480" s="1153"/>
      <c r="AZ480" s="1153"/>
      <c r="BA480" s="1153"/>
      <c r="BB480" s="1153"/>
      <c r="BC480" s="1191"/>
      <c r="BD480" s="1191"/>
      <c r="BE480" s="1191"/>
      <c r="BF480" s="1191"/>
      <c r="BG480" s="1191"/>
      <c r="BH480" s="1063"/>
      <c r="BI480" s="1063"/>
      <c r="BJ480" s="1063"/>
    </row>
    <row r="481" spans="1:62" ht="15" customHeight="1">
      <c r="A481" s="136"/>
      <c r="B481" s="569"/>
      <c r="C481" s="526"/>
      <c r="D481" s="572"/>
      <c r="E481" s="909"/>
      <c r="F481" s="909"/>
      <c r="G481" s="910"/>
      <c r="H481" s="910"/>
      <c r="I481" s="910"/>
      <c r="J481" s="912"/>
      <c r="K481" s="912"/>
      <c r="L481" s="912"/>
      <c r="M481" s="906"/>
      <c r="N481" s="906"/>
      <c r="O481" s="907"/>
      <c r="P481" s="907"/>
      <c r="Q481" s="908"/>
      <c r="S481" s="264"/>
      <c r="T481" s="264"/>
      <c r="U481" s="264"/>
      <c r="V481" s="264"/>
      <c r="X481" s="264"/>
      <c r="Y481" s="264"/>
      <c r="Z481" s="264"/>
      <c r="AD481" s="41">
        <f t="shared" si="32"/>
        <v>23</v>
      </c>
      <c r="AE481" s="24" t="s">
        <v>35</v>
      </c>
      <c r="AF481" s="551">
        <f t="shared" si="22"/>
        <v>24</v>
      </c>
      <c r="AG481" s="865">
        <f t="shared" si="33"/>
        <v>1</v>
      </c>
      <c r="AH481" s="866"/>
      <c r="AI481" s="592">
        <f t="shared" si="24"/>
        <v>1050000</v>
      </c>
      <c r="AJ481" s="604">
        <f t="shared" si="25"/>
        <v>-1.8685617775472869</v>
      </c>
      <c r="AK481" s="734">
        <f t="shared" si="26"/>
        <v>-5.2829527331339969</v>
      </c>
      <c r="AL481" s="1327">
        <f t="shared" si="27"/>
        <v>0</v>
      </c>
      <c r="AM481" s="1328"/>
      <c r="AN481" s="1329">
        <f t="shared" si="28"/>
        <v>0</v>
      </c>
      <c r="AO481" s="1330"/>
      <c r="AP481" s="553" t="str">
        <f t="shared" si="29"/>
        <v/>
      </c>
      <c r="AQ481" s="556">
        <f>SUM($AG$458:AH480)+(AG481/2)</f>
        <v>22.34</v>
      </c>
      <c r="AR481" s="57"/>
      <c r="AS481" s="871">
        <v>24</v>
      </c>
      <c r="AT481" s="871"/>
      <c r="AU481" s="863">
        <f t="shared" si="14"/>
        <v>750</v>
      </c>
      <c r="AV481" s="864"/>
      <c r="AX481" s="1153"/>
      <c r="AY481" s="1153"/>
      <c r="AZ481" s="1153"/>
      <c r="BA481" s="1153"/>
      <c r="BB481" s="1153"/>
      <c r="BC481" s="1063"/>
      <c r="BD481" s="1063"/>
      <c r="BE481" s="1063"/>
      <c r="BF481" s="1063"/>
      <c r="BG481" s="1063"/>
      <c r="BH481" s="1063"/>
      <c r="BI481" s="1063"/>
      <c r="BJ481" s="1063"/>
    </row>
    <row r="482" spans="1:62" ht="15" customHeight="1" thickBot="1">
      <c r="A482" s="136"/>
      <c r="B482" s="569"/>
      <c r="C482" s="526"/>
      <c r="D482" s="574"/>
      <c r="E482" s="909"/>
      <c r="F482" s="909"/>
      <c r="G482" s="910"/>
      <c r="H482" s="910"/>
      <c r="I482" s="910"/>
      <c r="J482" s="912"/>
      <c r="K482" s="912"/>
      <c r="L482" s="912"/>
      <c r="M482" s="906"/>
      <c r="N482" s="906"/>
      <c r="O482" s="907"/>
      <c r="P482" s="907"/>
      <c r="Q482" s="908"/>
      <c r="S482" s="269"/>
      <c r="T482" s="269"/>
      <c r="U482" s="269"/>
      <c r="V482" s="269"/>
      <c r="X482" s="269"/>
      <c r="Y482" s="269"/>
      <c r="Z482" s="269"/>
      <c r="AD482" s="41">
        <f t="shared" si="32"/>
        <v>24</v>
      </c>
      <c r="AE482" s="24" t="s">
        <v>35</v>
      </c>
      <c r="AF482" s="551">
        <f t="shared" si="22"/>
        <v>25</v>
      </c>
      <c r="AG482" s="865">
        <f t="shared" si="33"/>
        <v>1</v>
      </c>
      <c r="AH482" s="866"/>
      <c r="AI482" s="592">
        <f t="shared" si="24"/>
        <v>1050000</v>
      </c>
      <c r="AJ482" s="604">
        <f t="shared" si="25"/>
        <v>-1.9936328469948965</v>
      </c>
      <c r="AK482" s="734">
        <f t="shared" si="26"/>
        <v>-5.5647571315395936</v>
      </c>
      <c r="AL482" s="1327">
        <f t="shared" si="27"/>
        <v>0</v>
      </c>
      <c r="AM482" s="1328"/>
      <c r="AN482" s="1329">
        <f t="shared" si="28"/>
        <v>0</v>
      </c>
      <c r="AO482" s="1330"/>
      <c r="AP482" s="553" t="str">
        <f t="shared" si="29"/>
        <v/>
      </c>
      <c r="AQ482" s="556">
        <f>SUM($AG$458:AH481)+(AG482/2)</f>
        <v>23.34</v>
      </c>
      <c r="AR482" s="57"/>
      <c r="AS482" s="871">
        <v>25</v>
      </c>
      <c r="AT482" s="871"/>
      <c r="AU482" s="863">
        <f t="shared" si="14"/>
        <v>750</v>
      </c>
      <c r="AV482" s="864"/>
      <c r="AX482" s="1153"/>
      <c r="AY482" s="1153"/>
      <c r="AZ482" s="1153"/>
      <c r="BA482" s="1153"/>
      <c r="BB482" s="1153"/>
      <c r="BC482" s="1063"/>
      <c r="BD482" s="1063"/>
      <c r="BE482" s="1063"/>
      <c r="BF482" s="1063"/>
      <c r="BG482" s="1063"/>
      <c r="BH482" s="1063"/>
      <c r="BI482" s="1063"/>
      <c r="BJ482" s="1063"/>
    </row>
    <row r="483" spans="1:62" ht="15" customHeight="1" thickTop="1" thickBot="1">
      <c r="A483" s="136"/>
      <c r="B483" s="270"/>
      <c r="C483" s="271"/>
      <c r="D483" s="272"/>
      <c r="E483" s="1388"/>
      <c r="F483" s="1388"/>
      <c r="G483" s="1370"/>
      <c r="H483" s="1370"/>
      <c r="I483" s="1370"/>
      <c r="J483" s="1371"/>
      <c r="K483" s="1371"/>
      <c r="L483" s="1371"/>
      <c r="M483" s="1372" t="s">
        <v>301</v>
      </c>
      <c r="N483" s="1372"/>
      <c r="O483" s="1373">
        <f>SUM(O458:Q482)</f>
        <v>1.404E-4</v>
      </c>
      <c r="P483" s="1373">
        <f>SUM(P458:V482)</f>
        <v>0</v>
      </c>
      <c r="Q483" s="1374"/>
      <c r="S483" s="273"/>
      <c r="T483" s="273"/>
      <c r="U483" s="273"/>
      <c r="V483" s="273"/>
      <c r="X483" s="273"/>
      <c r="Y483" s="273"/>
      <c r="Z483" s="273"/>
      <c r="AD483" s="41">
        <f t="shared" si="32"/>
        <v>25</v>
      </c>
      <c r="AE483" s="24" t="s">
        <v>35</v>
      </c>
      <c r="AF483" s="551">
        <f t="shared" si="22"/>
        <v>26</v>
      </c>
      <c r="AG483" s="865">
        <f t="shared" si="33"/>
        <v>1</v>
      </c>
      <c r="AH483" s="866"/>
      <c r="AI483" s="592">
        <f t="shared" si="24"/>
        <v>1050000</v>
      </c>
      <c r="AJ483" s="604">
        <f t="shared" si="25"/>
        <v>-2.1187039164425059</v>
      </c>
      <c r="AK483" s="734">
        <f t="shared" si="26"/>
        <v>-5.8465615299451903</v>
      </c>
      <c r="AL483" s="1327">
        <f t="shared" si="27"/>
        <v>0</v>
      </c>
      <c r="AM483" s="1328"/>
      <c r="AN483" s="1329">
        <f t="shared" si="28"/>
        <v>0</v>
      </c>
      <c r="AO483" s="1330"/>
      <c r="AP483" s="553" t="str">
        <f t="shared" si="29"/>
        <v/>
      </c>
      <c r="AQ483" s="556">
        <f>SUM($AG$458:AH482)+(AG483/2)</f>
        <v>24.34</v>
      </c>
      <c r="AR483" s="57"/>
      <c r="AS483" s="871">
        <v>26</v>
      </c>
      <c r="AT483" s="871"/>
      <c r="AU483" s="863">
        <f t="shared" si="14"/>
        <v>750</v>
      </c>
      <c r="AV483" s="864"/>
      <c r="AX483" s="1153"/>
      <c r="AY483" s="1153"/>
      <c r="AZ483" s="1153"/>
      <c r="BA483" s="1153"/>
      <c r="BB483" s="1153"/>
      <c r="BC483" s="1203"/>
      <c r="BD483" s="1203"/>
      <c r="BE483" s="1203"/>
      <c r="BF483" s="1203"/>
      <c r="BG483" s="1203"/>
      <c r="BH483" s="1063"/>
      <c r="BI483" s="1063"/>
      <c r="BJ483" s="1063"/>
    </row>
    <row r="484" spans="1:62" ht="15" customHeight="1" thickTop="1">
      <c r="A484" s="136"/>
      <c r="B484" s="159"/>
      <c r="C484" s="159"/>
      <c r="D484" s="159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258"/>
      <c r="R484" s="258"/>
      <c r="S484" s="258"/>
      <c r="T484" s="258"/>
      <c r="U484" s="258"/>
      <c r="V484" s="258"/>
      <c r="W484" s="258"/>
      <c r="X484" s="252"/>
      <c r="Y484" s="252"/>
      <c r="AD484" s="64"/>
      <c r="AE484" s="65"/>
      <c r="AF484" s="551">
        <f t="shared" si="22"/>
        <v>27</v>
      </c>
      <c r="AG484" s="865"/>
      <c r="AH484" s="866"/>
      <c r="AI484" s="592">
        <f t="shared" si="24"/>
        <v>1050000</v>
      </c>
      <c r="AJ484" s="565"/>
      <c r="AK484" s="555"/>
      <c r="AL484" s="1380"/>
      <c r="AM484" s="1381"/>
      <c r="AN484" s="1382"/>
      <c r="AO484" s="1383"/>
      <c r="AP484" s="553" t="str">
        <f t="shared" si="29"/>
        <v>N</v>
      </c>
      <c r="AQ484" s="556">
        <f>SUM($AG$458:AH483)+(AG484/2)</f>
        <v>24.84</v>
      </c>
      <c r="AR484" s="57"/>
      <c r="AS484" s="871">
        <v>27</v>
      </c>
      <c r="AT484" s="871"/>
      <c r="AU484" s="863">
        <f t="shared" si="14"/>
        <v>750</v>
      </c>
      <c r="AV484" s="864"/>
      <c r="AX484" s="1153"/>
      <c r="AY484" s="1153"/>
      <c r="AZ484" s="1153"/>
      <c r="BA484" s="1153"/>
      <c r="BB484" s="1153"/>
      <c r="BC484" s="1191"/>
      <c r="BD484" s="1191"/>
      <c r="BE484" s="1191"/>
      <c r="BF484" s="1191"/>
      <c r="BG484" s="1191"/>
      <c r="BH484" s="1063"/>
      <c r="BI484" s="1063"/>
      <c r="BJ484" s="1063"/>
    </row>
    <row r="485" spans="1:62" ht="15" customHeight="1">
      <c r="A485" s="136"/>
      <c r="B485" s="136"/>
      <c r="C485" s="85" t="s">
        <v>313</v>
      </c>
      <c r="D485" s="85"/>
      <c r="E485" s="135"/>
      <c r="F485" s="135"/>
      <c r="G485" s="135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85"/>
      <c r="AA485" s="85"/>
      <c r="AG485" s="68"/>
      <c r="AH485" s="68"/>
      <c r="AI485" s="69"/>
      <c r="AJ485" s="70"/>
      <c r="AK485" s="71" t="s">
        <v>97</v>
      </c>
      <c r="AL485" s="1378">
        <f>SUM(AL458:AM483)</f>
        <v>1.4041217778626116E-4</v>
      </c>
      <c r="AM485" s="1379"/>
      <c r="AN485" s="1378">
        <f>SUM(AN458:AO483)</f>
        <v>2.3560000000000001E-4</v>
      </c>
      <c r="AO485" s="1379"/>
      <c r="AX485" s="1153"/>
      <c r="AY485" s="1153"/>
      <c r="AZ485" s="1153"/>
      <c r="BA485" s="1153"/>
      <c r="BB485" s="1153"/>
      <c r="BC485" s="1191"/>
      <c r="BD485" s="1191"/>
      <c r="BE485" s="1191"/>
      <c r="BF485" s="1191"/>
      <c r="BG485" s="1191"/>
      <c r="BH485" s="1063"/>
      <c r="BI485" s="1063"/>
      <c r="BJ485" s="1063"/>
    </row>
    <row r="486" spans="1:62" ht="15" customHeight="1">
      <c r="A486" s="136"/>
      <c r="B486" s="136"/>
      <c r="C486" s="125" t="s">
        <v>315</v>
      </c>
      <c r="D486" s="125" t="s">
        <v>316</v>
      </c>
      <c r="E486" s="1067" t="s">
        <v>317</v>
      </c>
      <c r="F486" s="1067"/>
      <c r="G486" s="296" t="s">
        <v>249</v>
      </c>
      <c r="H486" s="1067" t="s">
        <v>318</v>
      </c>
      <c r="I486" s="1067"/>
      <c r="J486" s="296" t="s">
        <v>249</v>
      </c>
      <c r="K486" s="1067" t="s">
        <v>319</v>
      </c>
      <c r="L486" s="1067"/>
      <c r="M486" s="296" t="s">
        <v>249</v>
      </c>
      <c r="N486" s="296" t="s">
        <v>320</v>
      </c>
      <c r="O486" s="296" t="s">
        <v>249</v>
      </c>
      <c r="P486" s="296" t="s">
        <v>321</v>
      </c>
      <c r="Q486" s="297" t="s">
        <v>322</v>
      </c>
      <c r="R486" s="296" t="s">
        <v>323</v>
      </c>
      <c r="S486" s="296" t="s">
        <v>324</v>
      </c>
      <c r="T486" s="296" t="s">
        <v>249</v>
      </c>
      <c r="U486" s="1067" t="s">
        <v>325</v>
      </c>
      <c r="V486" s="1067"/>
      <c r="W486" s="125"/>
      <c r="X486" s="125"/>
      <c r="Y486" s="125"/>
      <c r="Z486" s="125"/>
      <c r="AA486" s="125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X486" s="1153"/>
      <c r="AY486" s="1153"/>
      <c r="AZ486" s="1153"/>
      <c r="BA486" s="1153"/>
      <c r="BB486" s="1153"/>
      <c r="BC486" s="1191"/>
      <c r="BD486" s="1191"/>
      <c r="BE486" s="1191"/>
      <c r="BF486" s="1191"/>
      <c r="BG486" s="1191"/>
      <c r="BH486" s="1191"/>
      <c r="BI486" s="1191"/>
      <c r="BJ486" s="1191"/>
    </row>
    <row r="487" spans="1:62" ht="15" customHeight="1">
      <c r="A487" s="136"/>
      <c r="B487" s="136"/>
      <c r="C487" s="1376" t="s">
        <v>315</v>
      </c>
      <c r="D487" s="1377" t="s">
        <v>327</v>
      </c>
      <c r="E487" s="1375">
        <f>+T452</f>
        <v>0.91914498141263945</v>
      </c>
      <c r="F487" s="1375"/>
      <c r="G487" s="1067" t="s">
        <v>249</v>
      </c>
      <c r="H487" s="1375">
        <f>+U493</f>
        <v>1.4352182518111363</v>
      </c>
      <c r="I487" s="1375"/>
      <c r="J487" s="1067" t="s">
        <v>249</v>
      </c>
      <c r="K487" s="1428">
        <f>+M452-Q452</f>
        <v>129.12</v>
      </c>
      <c r="L487" s="1428"/>
      <c r="M487" s="1067" t="s">
        <v>249</v>
      </c>
      <c r="N487" s="1369">
        <f>O483</f>
        <v>1.404E-4</v>
      </c>
      <c r="O487" s="1369"/>
      <c r="P487" s="1369"/>
      <c r="Q487" s="1369"/>
      <c r="R487" s="1503">
        <v>1000</v>
      </c>
      <c r="S487" s="1503"/>
      <c r="T487" s="1376" t="s">
        <v>316</v>
      </c>
      <c r="U487" s="1385">
        <f>ROUND((E487*H487*N487*K487)*R487,2)</f>
        <v>23.91</v>
      </c>
      <c r="V487" s="1385"/>
      <c r="W487" s="1385"/>
      <c r="X487" s="1386" t="s">
        <v>329</v>
      </c>
      <c r="Y487" s="1386"/>
      <c r="AD487" s="11"/>
      <c r="AE487" s="12"/>
      <c r="AF487" s="13"/>
      <c r="AS487" s="14"/>
      <c r="AT487" s="13"/>
      <c r="AU487" s="13"/>
      <c r="AV487" s="13"/>
      <c r="AX487" s="1153"/>
      <c r="AY487" s="1153"/>
      <c r="AZ487" s="1153"/>
      <c r="BA487" s="1153"/>
      <c r="BB487" s="1153"/>
      <c r="BC487" s="1191"/>
      <c r="BD487" s="1191"/>
      <c r="BE487" s="1191"/>
      <c r="BF487" s="1191"/>
      <c r="BG487" s="1191"/>
      <c r="BH487" s="1063"/>
      <c r="BI487" s="1063"/>
      <c r="BJ487" s="1063"/>
    </row>
    <row r="488" spans="1:62" ht="15" customHeight="1">
      <c r="A488" s="136"/>
      <c r="B488" s="136"/>
      <c r="C488" s="1376"/>
      <c r="D488" s="1376"/>
      <c r="E488" s="1375"/>
      <c r="F488" s="1375"/>
      <c r="G488" s="1067" t="s">
        <v>249</v>
      </c>
      <c r="H488" s="1375"/>
      <c r="I488" s="1375"/>
      <c r="J488" s="1067" t="s">
        <v>249</v>
      </c>
      <c r="K488" s="1428"/>
      <c r="L488" s="1428"/>
      <c r="M488" s="1067" t="s">
        <v>249</v>
      </c>
      <c r="N488" s="1369"/>
      <c r="O488" s="1369"/>
      <c r="P488" s="1369"/>
      <c r="Q488" s="1369"/>
      <c r="R488" s="1503"/>
      <c r="S488" s="1503"/>
      <c r="T488" s="1376"/>
      <c r="U488" s="1385"/>
      <c r="V488" s="1385"/>
      <c r="W488" s="1385"/>
      <c r="X488" s="1386"/>
      <c r="Y488" s="1386"/>
      <c r="AX488" s="1153"/>
      <c r="AY488" s="1153"/>
      <c r="AZ488" s="1153"/>
      <c r="BA488" s="1153"/>
      <c r="BB488" s="1153"/>
      <c r="BC488" s="1191"/>
      <c r="BD488" s="1191"/>
      <c r="BE488" s="1191"/>
      <c r="BF488" s="1191"/>
      <c r="BG488" s="1191"/>
      <c r="BH488" s="1191"/>
      <c r="BI488" s="1191"/>
      <c r="BJ488" s="1191"/>
    </row>
    <row r="489" spans="1:62" ht="15" customHeight="1">
      <c r="A489" s="136"/>
      <c r="B489" s="136"/>
      <c r="C489" s="130"/>
      <c r="D489" s="1376" t="s">
        <v>317</v>
      </c>
      <c r="E489" s="1377" t="s">
        <v>316</v>
      </c>
      <c r="F489" s="1067">
        <v>1</v>
      </c>
      <c r="G489" s="1067"/>
      <c r="H489" s="1067" t="s">
        <v>330</v>
      </c>
      <c r="I489" s="1428">
        <v>0.5</v>
      </c>
      <c r="J489" s="1428"/>
      <c r="K489" s="1067" t="s">
        <v>331</v>
      </c>
      <c r="L489" s="1387" t="s">
        <v>332</v>
      </c>
      <c r="M489" s="1387"/>
      <c r="N489" s="1387"/>
      <c r="O489" s="1387"/>
      <c r="P489" s="1387"/>
      <c r="Q489" s="1067" t="s">
        <v>324</v>
      </c>
      <c r="R489" s="296"/>
      <c r="S489" s="296" t="s">
        <v>333</v>
      </c>
      <c r="T489" s="296" t="s">
        <v>316</v>
      </c>
      <c r="U489" s="1067">
        <f>+Q452</f>
        <v>20.88</v>
      </c>
      <c r="V489" s="1067"/>
      <c r="W489" s="1067"/>
      <c r="X489" s="303" t="s">
        <v>334</v>
      </c>
      <c r="Y489" s="303"/>
      <c r="Z489" s="125"/>
      <c r="AA489" s="125"/>
    </row>
    <row r="490" spans="1:62" ht="15" customHeight="1">
      <c r="A490" s="136"/>
      <c r="B490" s="136"/>
      <c r="C490" s="130"/>
      <c r="D490" s="1376"/>
      <c r="E490" s="1377"/>
      <c r="F490" s="1067"/>
      <c r="G490" s="1067"/>
      <c r="H490" s="1067"/>
      <c r="I490" s="1428"/>
      <c r="J490" s="1428"/>
      <c r="K490" s="1067"/>
      <c r="L490" s="1391" t="s">
        <v>335</v>
      </c>
      <c r="M490" s="1391"/>
      <c r="N490" s="296" t="s">
        <v>330</v>
      </c>
      <c r="O490" s="1391" t="s">
        <v>333</v>
      </c>
      <c r="P490" s="1391"/>
      <c r="Q490" s="1067"/>
      <c r="R490" s="296"/>
      <c r="S490" s="296" t="s">
        <v>335</v>
      </c>
      <c r="T490" s="296" t="s">
        <v>316</v>
      </c>
      <c r="U490" s="1067">
        <f>+M452</f>
        <v>150</v>
      </c>
      <c r="V490" s="1067"/>
      <c r="W490" s="1067"/>
      <c r="X490" s="303" t="s">
        <v>334</v>
      </c>
      <c r="Y490" s="303"/>
      <c r="Z490" s="125"/>
      <c r="AA490" s="125"/>
      <c r="AC490" s="452"/>
      <c r="AD490" s="452" t="s">
        <v>304</v>
      </c>
      <c r="AE490" s="452" t="s">
        <v>305</v>
      </c>
      <c r="AF490" s="452"/>
      <c r="AG490" s="452"/>
      <c r="AH490" s="452"/>
      <c r="AI490" s="452"/>
      <c r="AT490" s="274"/>
      <c r="AX490" s="3"/>
      <c r="AY490" s="3"/>
      <c r="AZ490" s="5"/>
      <c r="BA490" s="5"/>
    </row>
    <row r="491" spans="1:62" ht="15" customHeight="1">
      <c r="A491" s="136"/>
      <c r="B491" s="136"/>
      <c r="C491" s="130"/>
      <c r="D491" s="125"/>
      <c r="E491" s="1376"/>
      <c r="F491" s="1067">
        <v>1</v>
      </c>
      <c r="G491" s="1067"/>
      <c r="H491" s="1066" t="s">
        <v>330</v>
      </c>
      <c r="I491" s="1067">
        <v>0.5</v>
      </c>
      <c r="J491" s="1067"/>
      <c r="K491" s="1067" t="s">
        <v>336</v>
      </c>
      <c r="L491" s="1387">
        <f>+Q452</f>
        <v>20.88</v>
      </c>
      <c r="M491" s="1387"/>
      <c r="N491" s="1387"/>
      <c r="O491" s="1387"/>
      <c r="P491" s="1387"/>
      <c r="Q491" s="1067" t="s">
        <v>324</v>
      </c>
      <c r="R491" s="296"/>
      <c r="S491" s="296"/>
      <c r="T491" s="1067" t="s">
        <v>316</v>
      </c>
      <c r="U491" s="1389">
        <f>1-0.5*((U489/(U490-U489)))</f>
        <v>0.91914498141263945</v>
      </c>
      <c r="V491" s="1389"/>
      <c r="W491" s="1389"/>
      <c r="X491" s="1390" t="s">
        <v>334</v>
      </c>
      <c r="Y491" s="1390"/>
      <c r="Z491" s="125"/>
      <c r="AA491" s="125"/>
      <c r="AC491" s="5"/>
      <c r="AF491" s="276"/>
      <c r="AI491" s="1384">
        <f>+F5/J5</f>
        <v>0.74</v>
      </c>
      <c r="AJ491" s="1384"/>
      <c r="AW491" s="13"/>
      <c r="AX491" s="15"/>
      <c r="AY491" s="16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</row>
    <row r="492" spans="1:62" ht="15" customHeight="1">
      <c r="A492" s="136"/>
      <c r="B492" s="136"/>
      <c r="C492" s="130"/>
      <c r="D492" s="125"/>
      <c r="E492" s="1376"/>
      <c r="F492" s="1067"/>
      <c r="G492" s="1067"/>
      <c r="H492" s="1066"/>
      <c r="I492" s="1067"/>
      <c r="J492" s="1067"/>
      <c r="K492" s="1067"/>
      <c r="L492" s="1391">
        <f>+M452</f>
        <v>150</v>
      </c>
      <c r="M492" s="1391"/>
      <c r="N492" s="296" t="s">
        <v>330</v>
      </c>
      <c r="O492" s="1391">
        <f>+Q452</f>
        <v>20.88</v>
      </c>
      <c r="P492" s="1391"/>
      <c r="Q492" s="1067"/>
      <c r="R492" s="296"/>
      <c r="S492" s="296"/>
      <c r="T492" s="1067"/>
      <c r="U492" s="1389"/>
      <c r="V492" s="1389"/>
      <c r="W492" s="1389"/>
      <c r="X492" s="1390"/>
      <c r="Y492" s="1390"/>
      <c r="Z492" s="125"/>
      <c r="AA492" s="125"/>
      <c r="AC492" s="5"/>
      <c r="AF492" s="277"/>
      <c r="AI492" s="278" t="s">
        <v>307</v>
      </c>
      <c r="AJ492" s="279" t="s">
        <v>308</v>
      </c>
      <c r="AK492" s="279" t="s">
        <v>309</v>
      </c>
      <c r="AL492" s="279" t="s">
        <v>310</v>
      </c>
      <c r="AM492" s="280" t="s">
        <v>311</v>
      </c>
      <c r="BH492" s="1153"/>
      <c r="BI492" s="1153"/>
      <c r="BJ492" s="1153"/>
    </row>
    <row r="493" spans="1:62" ht="15" customHeight="1">
      <c r="A493" s="136"/>
      <c r="B493" s="136"/>
      <c r="C493" s="130"/>
      <c r="D493" s="1376" t="s">
        <v>318</v>
      </c>
      <c r="E493" s="1376" t="s">
        <v>316</v>
      </c>
      <c r="F493" s="1067">
        <v>1</v>
      </c>
      <c r="G493" s="1067"/>
      <c r="H493" s="1067" t="s">
        <v>337</v>
      </c>
      <c r="I493" s="1067">
        <v>0.2</v>
      </c>
      <c r="J493" s="1067"/>
      <c r="K493" s="1067"/>
      <c r="L493" s="1437" t="s">
        <v>338</v>
      </c>
      <c r="M493" s="1437"/>
      <c r="N493" s="1437" t="s">
        <v>331</v>
      </c>
      <c r="O493" s="1387">
        <v>30</v>
      </c>
      <c r="P493" s="1387"/>
      <c r="Q493" s="1387"/>
      <c r="R493" s="1067" t="s">
        <v>324</v>
      </c>
      <c r="S493" s="296"/>
      <c r="T493" s="1067" t="s">
        <v>316</v>
      </c>
      <c r="U493" s="1375">
        <f>1+0.2*LOG((O493/0.2))</f>
        <v>1.4352182518111363</v>
      </c>
      <c r="V493" s="1375"/>
      <c r="W493" s="1375"/>
      <c r="X493" s="296"/>
      <c r="Y493" s="296"/>
      <c r="Z493" s="125"/>
      <c r="AA493" s="125"/>
      <c r="AB493" s="85"/>
      <c r="AC493" s="5"/>
      <c r="AF493" s="276"/>
      <c r="AI493" s="281">
        <v>0</v>
      </c>
      <c r="AJ493" s="282">
        <v>0.4</v>
      </c>
      <c r="AK493" s="282">
        <v>0.1</v>
      </c>
      <c r="AL493" s="283">
        <f>SLOPE(AK493:AK494,AJ493:AJ494)</f>
        <v>0.16</v>
      </c>
      <c r="AM493" s="284">
        <f>INTERCEPT(AK493:AK494,AJ493:AJ494)</f>
        <v>3.5999999999999976E-2</v>
      </c>
      <c r="AW493" s="5"/>
      <c r="BH493" s="1191"/>
      <c r="BI493" s="1191"/>
      <c r="BJ493" s="1191"/>
    </row>
    <row r="494" spans="1:62" ht="15" customHeight="1">
      <c r="A494" s="136"/>
      <c r="B494" s="136"/>
      <c r="C494" s="130"/>
      <c r="D494" s="1376"/>
      <c r="E494" s="1376"/>
      <c r="F494" s="1067"/>
      <c r="G494" s="1067"/>
      <c r="H494" s="1067"/>
      <c r="I494" s="1067"/>
      <c r="J494" s="1067"/>
      <c r="K494" s="1067"/>
      <c r="L494" s="1437"/>
      <c r="M494" s="1437"/>
      <c r="N494" s="1437"/>
      <c r="O494" s="1391">
        <v>0.1</v>
      </c>
      <c r="P494" s="1391"/>
      <c r="Q494" s="1391"/>
      <c r="R494" s="1067"/>
      <c r="S494" s="296"/>
      <c r="T494" s="1067"/>
      <c r="U494" s="1375"/>
      <c r="V494" s="1375"/>
      <c r="W494" s="1375"/>
      <c r="X494" s="296"/>
      <c r="Y494" s="296"/>
      <c r="Z494" s="125"/>
      <c r="AA494" s="125"/>
      <c r="AB494" s="85"/>
      <c r="AC494" s="5"/>
      <c r="AF494" s="276"/>
      <c r="AI494" s="286">
        <v>0.5</v>
      </c>
      <c r="AJ494" s="287">
        <f>AI494*5+AJ493</f>
        <v>2.9</v>
      </c>
      <c r="AK494" s="282">
        <v>0.5</v>
      </c>
      <c r="AL494" s="283">
        <f>SLOPE(AK494:AK495,AJ494:AJ495)</f>
        <v>-0.41666666666666646</v>
      </c>
      <c r="AM494" s="284">
        <f>INTERCEPT(AK494:AK495,AJ494:AJ495)</f>
        <v>1.7083333333333326</v>
      </c>
      <c r="AO494" s="107"/>
      <c r="AP494" s="107"/>
      <c r="AQ494" s="107"/>
      <c r="AR494" s="107"/>
      <c r="AS494" s="107"/>
      <c r="AW494" s="275"/>
      <c r="BH494" s="1063"/>
      <c r="BI494" s="1063"/>
      <c r="BJ494" s="1063"/>
    </row>
    <row r="495" spans="1:62" ht="15" customHeight="1">
      <c r="A495" s="136"/>
      <c r="B495" s="136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AB495" s="85"/>
      <c r="AC495" s="5"/>
      <c r="AF495" s="276"/>
      <c r="AI495" s="288">
        <v>2</v>
      </c>
      <c r="AJ495" s="289">
        <f>AI495*F5+AJ493</f>
        <v>4.1000000000000005</v>
      </c>
      <c r="AK495" s="289">
        <v>0</v>
      </c>
      <c r="AL495" s="290"/>
      <c r="AM495" s="291"/>
      <c r="AO495" s="107"/>
      <c r="AP495" s="107"/>
      <c r="AQ495" s="107"/>
      <c r="AR495" s="107"/>
      <c r="AS495" s="107"/>
      <c r="AX495" s="3"/>
      <c r="AZ495" s="5"/>
      <c r="BI495" s="38"/>
      <c r="BJ495" s="38"/>
    </row>
    <row r="496" spans="1:62" ht="15" customHeight="1">
      <c r="A496" s="136"/>
      <c r="B496" s="1400" t="s">
        <v>339</v>
      </c>
      <c r="C496" s="1400"/>
      <c r="D496" s="1400"/>
      <c r="E496" s="1400"/>
      <c r="F496" s="1400"/>
      <c r="G496" s="1400"/>
      <c r="H496" s="1400"/>
      <c r="I496" s="1400"/>
      <c r="J496" s="1400"/>
      <c r="K496" s="1400"/>
      <c r="L496" s="1400"/>
      <c r="M496" s="1400"/>
      <c r="N496" s="1400"/>
      <c r="O496" s="1400"/>
      <c r="P496" s="1400"/>
      <c r="Q496" s="1400"/>
      <c r="R496" s="1400"/>
      <c r="S496" s="1401">
        <f>+U487</f>
        <v>23.91</v>
      </c>
      <c r="T496" s="1401"/>
      <c r="U496" s="1401"/>
      <c r="V496" s="1401"/>
      <c r="W496" s="1401"/>
      <c r="X496" s="1401"/>
      <c r="Y496" s="1401"/>
      <c r="Z496" s="1401"/>
      <c r="AA496" s="307"/>
      <c r="AB496" s="85"/>
      <c r="AC496" s="5"/>
      <c r="AF496" s="276"/>
      <c r="AI496" s="278" t="s">
        <v>314</v>
      </c>
      <c r="AJ496" s="279" t="s">
        <v>308</v>
      </c>
      <c r="AK496" s="279" t="s">
        <v>309</v>
      </c>
      <c r="AL496" s="292" t="s">
        <v>310</v>
      </c>
      <c r="AM496" s="293" t="s">
        <v>311</v>
      </c>
      <c r="AO496" s="107"/>
      <c r="AP496" s="107"/>
      <c r="AQ496" s="107"/>
      <c r="AR496" s="107"/>
      <c r="AS496" s="107"/>
      <c r="AX496" s="3"/>
      <c r="AZ496" s="5"/>
      <c r="BI496" s="38"/>
      <c r="BJ496" s="38"/>
    </row>
    <row r="497" spans="1:62" ht="15" customHeight="1">
      <c r="A497" s="136"/>
      <c r="B497" s="1402" t="s">
        <v>340</v>
      </c>
      <c r="C497" s="1402"/>
      <c r="D497" s="1402"/>
      <c r="E497" s="1402"/>
      <c r="F497" s="1402"/>
      <c r="G497" s="1402"/>
      <c r="H497" s="1402"/>
      <c r="I497" s="1402"/>
      <c r="J497" s="1402"/>
      <c r="K497" s="1402"/>
      <c r="L497" s="1402"/>
      <c r="M497" s="1402"/>
      <c r="N497" s="1402"/>
      <c r="O497" s="1402"/>
      <c r="P497" s="1402"/>
      <c r="Q497" s="1402"/>
      <c r="R497" s="1402"/>
      <c r="S497" s="1403">
        <v>25</v>
      </c>
      <c r="T497" s="1403"/>
      <c r="U497" s="1403"/>
      <c r="V497" s="1403"/>
      <c r="W497" s="1403"/>
      <c r="X497" s="1403"/>
      <c r="Y497" s="1403"/>
      <c r="Z497" s="1403"/>
      <c r="AA497" s="308"/>
      <c r="AB497" s="85"/>
      <c r="AE497" s="276"/>
      <c r="AI497" s="281">
        <v>0</v>
      </c>
      <c r="AJ497" s="294">
        <f>+I452</f>
        <v>1.1599999999999999</v>
      </c>
      <c r="AK497" s="295">
        <f>0.0111*AI491+0.0889</f>
        <v>9.7114000000000006E-2</v>
      </c>
      <c r="AL497" s="283">
        <f>SLOPE(AK497:AK498,AJ497:AJ498)</f>
        <v>0.6707159847560038</v>
      </c>
      <c r="AM497" s="284">
        <f>+AK497</f>
        <v>9.7114000000000006E-2</v>
      </c>
      <c r="AO497" s="107"/>
      <c r="AP497" s="107"/>
      <c r="AR497" s="723">
        <f>0.0111*AI491+0.0889</f>
        <v>9.7114000000000006E-2</v>
      </c>
      <c r="AS497" s="107" t="s">
        <v>825</v>
      </c>
      <c r="AX497" s="3"/>
      <c r="AZ497" s="5"/>
      <c r="BI497" s="38"/>
      <c r="BJ497" s="38"/>
    </row>
    <row r="498" spans="1:62" ht="15" customHeight="1">
      <c r="A498" s="136"/>
      <c r="B498" s="1404" t="s">
        <v>341</v>
      </c>
      <c r="C498" s="1404"/>
      <c r="D498" s="1404"/>
      <c r="E498" s="1404"/>
      <c r="F498" s="1404"/>
      <c r="G498" s="1404"/>
      <c r="H498" s="1404"/>
      <c r="I498" s="1404"/>
      <c r="J498" s="1404"/>
      <c r="K498" s="1404"/>
      <c r="L498" s="1404"/>
      <c r="M498" s="1404"/>
      <c r="N498" s="1404"/>
      <c r="O498" s="1404"/>
      <c r="P498" s="1404"/>
      <c r="Q498" s="1404"/>
      <c r="R498" s="1404"/>
      <c r="S498" s="1404" t="str">
        <f>IF(S496 &lt;= S497, "O.K", "N.G")</f>
        <v>O.K</v>
      </c>
      <c r="T498" s="1404"/>
      <c r="U498" s="1404"/>
      <c r="V498" s="1404"/>
      <c r="W498" s="1404"/>
      <c r="X498" s="1404"/>
      <c r="Y498" s="1404"/>
      <c r="Z498" s="1404"/>
      <c r="AA498" s="309"/>
      <c r="AB498" s="85"/>
      <c r="AE498" s="276"/>
      <c r="AI498" s="298">
        <f>0.0556*AI491+0.444</f>
        <v>0.48514400000000002</v>
      </c>
      <c r="AJ498" s="282">
        <f>+AQ498</f>
        <v>2.1210749999999998</v>
      </c>
      <c r="AK498" s="282">
        <f>+AR498</f>
        <v>0.74172236504937628</v>
      </c>
      <c r="AL498" s="283">
        <f>SLOPE(AK498:AK499,AJ498:AJ499)</f>
        <v>-0.28180439840559679</v>
      </c>
      <c r="AM498" s="284">
        <f>+(AJ499-AJ497)*-AL498</f>
        <v>1.0125575272470353</v>
      </c>
      <c r="AO498" s="107"/>
      <c r="AP498" s="107"/>
      <c r="AQ498" s="107">
        <f>+B452*(0.5+0.0555*(E452/B452-1))+I452</f>
        <v>2.1210749999999998</v>
      </c>
      <c r="AR498" s="724">
        <f>0.5+0.1*SQRT((M452-Q452)/((I452+0.1*B452)*$AH$198))</f>
        <v>0.74172236504937628</v>
      </c>
      <c r="AS498" s="107" t="s">
        <v>826</v>
      </c>
      <c r="AX498" s="3"/>
      <c r="AZ498" s="5"/>
      <c r="BI498" s="38"/>
      <c r="BJ498" s="38"/>
    </row>
    <row r="499" spans="1:62" ht="15" customHeight="1">
      <c r="A499" s="136"/>
      <c r="B499" s="496"/>
      <c r="C499" s="496"/>
      <c r="D499" s="496"/>
      <c r="E499" s="496"/>
      <c r="F499" s="496"/>
      <c r="G499" s="496"/>
      <c r="H499" s="496"/>
      <c r="I499" s="496"/>
      <c r="J499" s="496"/>
      <c r="K499" s="496"/>
      <c r="L499" s="496"/>
      <c r="M499" s="496"/>
      <c r="N499" s="496"/>
      <c r="O499" s="496"/>
      <c r="P499" s="496"/>
      <c r="Q499" s="496"/>
      <c r="R499" s="496"/>
      <c r="S499" s="496"/>
      <c r="T499" s="496"/>
      <c r="U499" s="496"/>
      <c r="V499" s="496"/>
      <c r="W499" s="496"/>
      <c r="X499" s="496"/>
      <c r="Y499" s="496"/>
      <c r="Z499" s="496"/>
      <c r="AA499" s="309"/>
      <c r="AB499" s="125"/>
      <c r="AE499" s="276"/>
      <c r="AI499" s="299">
        <f>0.2222*AI491+1.7778</f>
        <v>1.9422280000000001</v>
      </c>
      <c r="AJ499" s="289">
        <f>AI499*F5+AJ497</f>
        <v>4.7531218000000006</v>
      </c>
      <c r="AK499" s="289">
        <v>0</v>
      </c>
      <c r="AL499" s="290"/>
      <c r="AM499" s="291"/>
      <c r="AO499" s="107"/>
      <c r="AP499" s="107"/>
      <c r="AQ499" s="725">
        <f>+AQ498-I452</f>
        <v>0.9610749999999999</v>
      </c>
      <c r="AR499" s="107"/>
      <c r="AS499" s="107"/>
      <c r="AX499" s="3"/>
      <c r="AZ499" s="5"/>
      <c r="BI499" s="38"/>
      <c r="BJ499" s="38"/>
    </row>
    <row r="500" spans="1:62" ht="15" customHeight="1">
      <c r="A500" s="136"/>
      <c r="B500" s="255" t="s">
        <v>479</v>
      </c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AB500" s="125"/>
      <c r="AE500" s="276"/>
      <c r="AI500" s="278" t="s">
        <v>326</v>
      </c>
      <c r="AJ500" s="279" t="s">
        <v>308</v>
      </c>
      <c r="AK500" s="279" t="s">
        <v>309</v>
      </c>
      <c r="AL500" s="292" t="s">
        <v>310</v>
      </c>
      <c r="AM500" s="293" t="s">
        <v>311</v>
      </c>
      <c r="AO500" s="107"/>
      <c r="AP500" s="107"/>
      <c r="AQ500" s="107"/>
      <c r="AR500" s="107"/>
      <c r="AS500" s="107"/>
      <c r="AX500" s="3"/>
      <c r="AZ500" s="5"/>
      <c r="BI500" s="38"/>
      <c r="BJ500" s="38"/>
    </row>
    <row r="501" spans="1:62" ht="15" customHeight="1">
      <c r="A501" s="136"/>
      <c r="B501" s="310"/>
      <c r="C501" s="256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AB501" s="125"/>
      <c r="AE501" s="276"/>
      <c r="AI501" s="281">
        <v>0</v>
      </c>
      <c r="AJ501" s="282">
        <f>+I452</f>
        <v>1.1599999999999999</v>
      </c>
      <c r="AK501" s="282">
        <v>0.2</v>
      </c>
      <c r="AL501" s="283">
        <f>SLOPE(AK501:AK502,AJ501:AJ502)</f>
        <v>0.26710510023472073</v>
      </c>
      <c r="AM501" s="284">
        <f>+AK501</f>
        <v>0.2</v>
      </c>
      <c r="AO501" s="107"/>
      <c r="AP501" s="107"/>
      <c r="AQ501" s="107">
        <v>0.2</v>
      </c>
      <c r="AS501" s="107"/>
      <c r="BH501" s="38"/>
      <c r="BI501" s="38"/>
      <c r="BJ501" s="38"/>
    </row>
    <row r="502" spans="1:62" ht="29.25" customHeight="1">
      <c r="A502" s="136"/>
      <c r="B502" s="224" t="s">
        <v>343</v>
      </c>
      <c r="C502" s="131" t="s">
        <v>546</v>
      </c>
      <c r="D502" s="85"/>
      <c r="E502" s="85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85"/>
      <c r="AE502" s="276"/>
      <c r="AI502" s="286">
        <v>1</v>
      </c>
      <c r="AJ502" s="282">
        <f>AI502*F5+AJ501</f>
        <v>3.01</v>
      </c>
      <c r="AK502" s="282">
        <f>+AR502</f>
        <v>0.69414443543423332</v>
      </c>
      <c r="AL502" s="283">
        <f>SLOPE(AK502:AK503,AJ502:AJ503)</f>
        <v>-0.12507106944760957</v>
      </c>
      <c r="AM502" s="284">
        <f>+(AJ503-AJ501)*-AL502</f>
        <v>0.92552591391231087</v>
      </c>
      <c r="AO502" s="107"/>
      <c r="AP502" s="107"/>
      <c r="AQ502" s="726">
        <f>+B452+I452</f>
        <v>3.01</v>
      </c>
      <c r="AR502" s="724">
        <f>0.5+0.1*SQRT((M452-Q452)/((I452+0.5*B452)*$AH$198))</f>
        <v>0.69414443543423332</v>
      </c>
      <c r="AS502" s="107"/>
      <c r="BH502" s="38"/>
      <c r="BI502" s="38"/>
      <c r="BJ502" s="38"/>
    </row>
    <row r="503" spans="1:62" ht="11.25" customHeight="1">
      <c r="A503" s="136"/>
      <c r="B503" s="224"/>
      <c r="C503" s="130" t="s">
        <v>480</v>
      </c>
      <c r="D503" s="85"/>
      <c r="E503" s="85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85"/>
      <c r="AE503" s="276"/>
      <c r="AI503" s="288">
        <v>4</v>
      </c>
      <c r="AJ503" s="289">
        <f>AI503*F5+AJ501</f>
        <v>8.56</v>
      </c>
      <c r="AK503" s="289">
        <v>0</v>
      </c>
      <c r="AL503" s="304"/>
      <c r="AM503" s="305"/>
      <c r="AO503" s="107"/>
      <c r="AP503" s="107"/>
      <c r="AQ503" s="733">
        <f>+AQ502-I452</f>
        <v>1.8499999999999999</v>
      </c>
      <c r="AR503" s="107"/>
      <c r="AS503" s="107"/>
      <c r="BH503" s="38"/>
      <c r="BI503" s="38"/>
      <c r="BJ503" s="38"/>
    </row>
    <row r="504" spans="1:62" ht="13.5" customHeight="1">
      <c r="A504" s="136"/>
      <c r="B504" s="1392" t="s">
        <v>545</v>
      </c>
      <c r="C504" s="1392"/>
      <c r="D504" s="1411" t="s">
        <v>90</v>
      </c>
      <c r="E504" s="1510" t="s">
        <v>822</v>
      </c>
      <c r="F504" s="1510"/>
      <c r="G504" s="1510"/>
      <c r="H504" s="1510"/>
      <c r="I504" s="85"/>
      <c r="J504" s="132"/>
      <c r="K504" s="132"/>
      <c r="L504" s="132"/>
      <c r="M504" s="132"/>
      <c r="N504" s="132"/>
      <c r="O504" s="1392" t="s">
        <v>348</v>
      </c>
      <c r="P504" s="1411" t="s">
        <v>90</v>
      </c>
      <c r="Q504" s="1511" t="s">
        <v>349</v>
      </c>
      <c r="R504" s="1511"/>
      <c r="S504" s="1511"/>
      <c r="T504" s="1511"/>
      <c r="U504" s="1511"/>
      <c r="V504" s="1511"/>
      <c r="W504" s="1511"/>
      <c r="X504" s="132"/>
      <c r="Y504" s="132"/>
      <c r="Z504" s="85"/>
      <c r="AB504" s="125"/>
      <c r="AE504" s="276"/>
      <c r="BH504" s="38"/>
      <c r="BI504" s="38"/>
      <c r="BJ504" s="38"/>
    </row>
    <row r="505" spans="1:62" ht="13.5" customHeight="1">
      <c r="A505" s="136"/>
      <c r="B505" s="1392"/>
      <c r="C505" s="1392"/>
      <c r="D505" s="1316"/>
      <c r="E505" s="1512" t="s">
        <v>823</v>
      </c>
      <c r="F505" s="1512"/>
      <c r="G505" s="1512"/>
      <c r="H505" s="1512"/>
      <c r="I505" s="132"/>
      <c r="J505" s="132"/>
      <c r="K505" s="132"/>
      <c r="L505" s="132"/>
      <c r="M505" s="132"/>
      <c r="N505" s="132"/>
      <c r="O505" s="1392"/>
      <c r="P505" s="1316"/>
      <c r="Q505" s="1316" t="s">
        <v>544</v>
      </c>
      <c r="R505" s="1316"/>
      <c r="S505" s="1316"/>
      <c r="T505" s="1316"/>
      <c r="U505" s="1316"/>
      <c r="V505" s="1316"/>
      <c r="W505" s="1316"/>
      <c r="X505" s="132"/>
      <c r="Y505" s="132"/>
      <c r="Z505" s="85"/>
      <c r="AB505" s="125"/>
      <c r="AE505" s="276"/>
      <c r="BH505" s="38"/>
      <c r="BI505" s="38"/>
      <c r="BJ505" s="38"/>
    </row>
    <row r="506" spans="1:62" ht="13.5" customHeight="1">
      <c r="A506" s="136"/>
      <c r="B506" s="224"/>
      <c r="C506" s="311"/>
      <c r="D506" s="90"/>
      <c r="E506" s="90"/>
      <c r="F506" s="90"/>
      <c r="G506" s="90"/>
      <c r="H506" s="90"/>
      <c r="I506" s="132"/>
      <c r="J506" s="132"/>
      <c r="K506" s="132"/>
      <c r="L506" s="132"/>
      <c r="M506" s="132"/>
      <c r="N506" s="132"/>
      <c r="O506" s="311"/>
      <c r="P506" s="90"/>
      <c r="Q506" s="85"/>
      <c r="R506" s="132"/>
      <c r="S506" s="132"/>
      <c r="T506" s="132"/>
      <c r="U506" s="132"/>
      <c r="V506" s="132"/>
      <c r="W506" s="132"/>
      <c r="X506" s="132"/>
      <c r="Y506" s="132"/>
      <c r="Z506" s="85"/>
      <c r="AB506" s="125"/>
      <c r="AE506" s="276"/>
      <c r="BH506" s="38"/>
      <c r="BI506" s="38"/>
      <c r="BJ506" s="38"/>
    </row>
    <row r="507" spans="1:62" ht="27" customHeight="1">
      <c r="A507" s="136"/>
      <c r="B507" s="310"/>
      <c r="C507" s="1398" t="s">
        <v>352</v>
      </c>
      <c r="D507" s="1398"/>
      <c r="E507" s="1398"/>
      <c r="F507" s="1398"/>
      <c r="G507" s="1395" t="s">
        <v>542</v>
      </c>
      <c r="H507" s="1398"/>
      <c r="I507" s="1398"/>
      <c r="J507" s="1395" t="s">
        <v>489</v>
      </c>
      <c r="K507" s="1398"/>
      <c r="L507" s="1398"/>
      <c r="M507" s="1395" t="s">
        <v>498</v>
      </c>
      <c r="N507" s="1395"/>
      <c r="O507" s="1395"/>
      <c r="P507" s="1395"/>
      <c r="Q507" s="1395"/>
      <c r="R507" s="1395" t="s">
        <v>499</v>
      </c>
      <c r="S507" s="1395"/>
      <c r="T507" s="1395"/>
      <c r="U507" s="1393" t="s">
        <v>541</v>
      </c>
      <c r="V507" s="1393"/>
      <c r="W507" s="1393"/>
      <c r="X507" s="1393"/>
      <c r="Y507" s="252"/>
      <c r="AB507" s="125"/>
      <c r="AC507" s="276"/>
      <c r="AE507" s="1405" t="s">
        <v>485</v>
      </c>
      <c r="AF507" s="1405"/>
      <c r="AG507" s="1405"/>
      <c r="AH507" s="1405"/>
      <c r="AI507" s="1405"/>
      <c r="AJ507" s="1405"/>
      <c r="AK507" s="1405" t="s">
        <v>355</v>
      </c>
      <c r="AL507" s="1405"/>
      <c r="AM507" s="1405"/>
      <c r="AV507" s="5"/>
      <c r="BH507" s="38"/>
      <c r="BI507" s="38"/>
      <c r="BJ507" s="38"/>
    </row>
    <row r="508" spans="1:62" ht="18" customHeight="1">
      <c r="A508" s="136"/>
      <c r="B508" s="310"/>
      <c r="C508" s="1394" t="s">
        <v>481</v>
      </c>
      <c r="D508" s="1394"/>
      <c r="E508" s="1394"/>
      <c r="F508" s="1394"/>
      <c r="G508" s="1552">
        <f>+T92</f>
        <v>600</v>
      </c>
      <c r="H508" s="1394"/>
      <c r="I508" s="1394"/>
      <c r="J508" s="1399">
        <f>+X92</f>
        <v>1</v>
      </c>
      <c r="K508" s="1399"/>
      <c r="L508" s="1399"/>
      <c r="M508" s="1397">
        <v>200000</v>
      </c>
      <c r="N508" s="1397"/>
      <c r="O508" s="1397"/>
      <c r="P508" s="1397"/>
      <c r="Q508" s="1397"/>
      <c r="R508" s="1396">
        <f>AK508</f>
        <v>0.3</v>
      </c>
      <c r="S508" s="1396"/>
      <c r="T508" s="1396"/>
      <c r="U508" s="1394">
        <f>+M452-N452</f>
        <v>150</v>
      </c>
      <c r="V508" s="1394"/>
      <c r="W508" s="1394"/>
      <c r="X508" s="1394"/>
      <c r="Y508" s="252"/>
      <c r="AB508" s="125"/>
      <c r="AC508" s="276"/>
      <c r="AE508" s="1407">
        <v>200000</v>
      </c>
      <c r="AF508" s="1407"/>
      <c r="AG508" s="1407"/>
      <c r="AH508" s="1407"/>
      <c r="AI508" s="1407"/>
      <c r="AJ508" s="1407"/>
      <c r="AK508" s="1408">
        <v>0.3</v>
      </c>
      <c r="AL508" s="1408"/>
      <c r="AM508" s="1408"/>
      <c r="AV508" s="5"/>
      <c r="BH508" s="38"/>
      <c r="BI508" s="38"/>
      <c r="BJ508" s="38"/>
    </row>
    <row r="509" spans="1:62" ht="5.25" customHeight="1">
      <c r="A509" s="136"/>
      <c r="B509" s="310"/>
      <c r="C509" s="314"/>
      <c r="D509" s="314"/>
      <c r="E509" s="314"/>
      <c r="F509" s="314"/>
      <c r="G509" s="137"/>
      <c r="H509" s="137"/>
      <c r="I509" s="137"/>
      <c r="J509" s="315"/>
      <c r="K509" s="315"/>
      <c r="L509" s="315"/>
      <c r="M509" s="315"/>
      <c r="N509" s="315"/>
      <c r="O509" s="315"/>
      <c r="P509" s="258"/>
      <c r="Q509" s="258"/>
      <c r="R509" s="258"/>
      <c r="S509" s="137"/>
      <c r="T509" s="137"/>
      <c r="U509" s="137"/>
      <c r="V509" s="137"/>
      <c r="W509" s="137"/>
      <c r="X509" s="137"/>
      <c r="Y509" s="252"/>
      <c r="AE509" s="276"/>
      <c r="BH509" s="38"/>
      <c r="BI509" s="38"/>
      <c r="BJ509" s="38"/>
    </row>
    <row r="510" spans="1:62" ht="13.5" customHeight="1">
      <c r="A510" s="136"/>
      <c r="B510" s="1422" t="s">
        <v>350</v>
      </c>
      <c r="C510" s="1422"/>
      <c r="D510" s="1411" t="s">
        <v>90</v>
      </c>
      <c r="E510" s="1566" t="s">
        <v>349</v>
      </c>
      <c r="F510" s="1566"/>
      <c r="G510" s="1566"/>
      <c r="H510" s="1566"/>
      <c r="I510" s="1566"/>
      <c r="J510" s="1411" t="s">
        <v>90</v>
      </c>
      <c r="K510" s="1413">
        <f>+M508</f>
        <v>200000</v>
      </c>
      <c r="L510" s="1413"/>
      <c r="M510" s="1413"/>
      <c r="N510" s="316" t="s">
        <v>343</v>
      </c>
      <c r="O510" s="317" t="s">
        <v>357</v>
      </c>
      <c r="P510" s="319">
        <v>1</v>
      </c>
      <c r="Q510" s="320" t="s">
        <v>358</v>
      </c>
      <c r="R510" s="1414">
        <f>+R508</f>
        <v>0.3</v>
      </c>
      <c r="S510" s="1414"/>
      <c r="T510" s="1414"/>
      <c r="U510" s="319" t="s">
        <v>328</v>
      </c>
      <c r="V510" s="1411" t="s">
        <v>90</v>
      </c>
      <c r="W510" s="1412">
        <f>ROUND(K510*(1-R508)/((1+R508)*(1-2*R508)),0)</f>
        <v>269231</v>
      </c>
      <c r="X510" s="1412"/>
      <c r="Y510" s="1412"/>
      <c r="Z510" s="1412"/>
      <c r="AE510" s="276"/>
      <c r="BH510" s="38"/>
      <c r="BI510" s="38"/>
      <c r="BJ510" s="38"/>
    </row>
    <row r="511" spans="1:62" ht="13.5" customHeight="1">
      <c r="A511" s="136"/>
      <c r="B511" s="1422"/>
      <c r="C511" s="1422"/>
      <c r="D511" s="1316"/>
      <c r="E511" s="323" t="s">
        <v>351</v>
      </c>
      <c r="F511" s="324"/>
      <c r="G511" s="324"/>
      <c r="H511" s="324"/>
      <c r="I511" s="324"/>
      <c r="J511" s="1316"/>
      <c r="K511" s="325" t="s">
        <v>357</v>
      </c>
      <c r="L511" s="325">
        <v>1</v>
      </c>
      <c r="M511" s="326" t="s">
        <v>248</v>
      </c>
      <c r="N511" s="1568">
        <f>+R508</f>
        <v>0.3</v>
      </c>
      <c r="O511" s="1568"/>
      <c r="P511" s="285" t="s">
        <v>484</v>
      </c>
      <c r="Q511" s="135">
        <v>1</v>
      </c>
      <c r="R511" s="327" t="s">
        <v>358</v>
      </c>
      <c r="S511" s="1569">
        <f>2*R508</f>
        <v>0.6</v>
      </c>
      <c r="T511" s="1569"/>
      <c r="U511" s="135" t="s">
        <v>328</v>
      </c>
      <c r="V511" s="1316"/>
      <c r="W511" s="1412"/>
      <c r="X511" s="1412"/>
      <c r="Y511" s="1412"/>
      <c r="Z511" s="1412"/>
      <c r="AE511" s="276"/>
      <c r="AW511" s="5"/>
      <c r="AX511" s="3"/>
      <c r="AY511" s="3"/>
      <c r="BF511" s="38"/>
      <c r="BG511" s="38"/>
      <c r="BH511" s="38"/>
      <c r="BI511" s="38"/>
      <c r="BJ511" s="38"/>
    </row>
    <row r="512" spans="1:62" ht="13.5" customHeight="1">
      <c r="A512" s="136"/>
      <c r="B512" s="1422" t="s">
        <v>497</v>
      </c>
      <c r="C512" s="1422"/>
      <c r="D512" s="1411" t="s">
        <v>90</v>
      </c>
      <c r="E512" s="1511" t="s">
        <v>543</v>
      </c>
      <c r="F512" s="1511"/>
      <c r="G512" s="1511"/>
      <c r="H512" s="1511"/>
      <c r="I512" s="1411" t="s">
        <v>90</v>
      </c>
      <c r="J512" s="325"/>
      <c r="K512" s="1570">
        <f>+U508</f>
        <v>150</v>
      </c>
      <c r="L512" s="1570"/>
      <c r="M512" s="1570"/>
      <c r="N512" s="316" t="s">
        <v>343</v>
      </c>
      <c r="O512" s="1413">
        <f>+G508</f>
        <v>600</v>
      </c>
      <c r="P512" s="1413"/>
      <c r="Q512" s="285"/>
      <c r="R512" s="1411" t="s">
        <v>90</v>
      </c>
      <c r="S512" s="135"/>
      <c r="T512" s="1422">
        <f>ROUND((K512*O512)/K513,2)</f>
        <v>0.33</v>
      </c>
      <c r="U512" s="1422"/>
      <c r="V512" s="1422" t="s">
        <v>360</v>
      </c>
      <c r="W512" s="1422"/>
      <c r="X512" s="135"/>
      <c r="Y512" s="132"/>
      <c r="Z512" s="85"/>
      <c r="AE512" s="276"/>
      <c r="AW512" s="5"/>
      <c r="AX512" s="3"/>
      <c r="AY512" s="3"/>
      <c r="BF512" s="38"/>
      <c r="BG512" s="38"/>
      <c r="BH512" s="38"/>
      <c r="BI512" s="38"/>
      <c r="BJ512" s="38"/>
    </row>
    <row r="513" spans="1:86" ht="13.5" customHeight="1">
      <c r="A513" s="136"/>
      <c r="B513" s="1422"/>
      <c r="C513" s="1422"/>
      <c r="D513" s="1316"/>
      <c r="E513" s="1571" t="s">
        <v>350</v>
      </c>
      <c r="F513" s="1571"/>
      <c r="G513" s="1571"/>
      <c r="H513" s="1571"/>
      <c r="I513" s="1316"/>
      <c r="J513" s="132"/>
      <c r="K513" s="1567">
        <f>+W510</f>
        <v>269231</v>
      </c>
      <c r="L513" s="1567"/>
      <c r="M513" s="1567"/>
      <c r="N513" s="1567"/>
      <c r="O513" s="1567"/>
      <c r="P513" s="1567"/>
      <c r="Q513" s="132"/>
      <c r="R513" s="1316"/>
      <c r="S513" s="132"/>
      <c r="T513" s="1422"/>
      <c r="U513" s="1422"/>
      <c r="V513" s="1422"/>
      <c r="W513" s="1422"/>
      <c r="X513" s="132"/>
      <c r="Y513" s="132"/>
      <c r="Z513" s="85"/>
      <c r="AE513" s="276"/>
      <c r="BH513" s="38"/>
      <c r="BI513" s="38"/>
      <c r="BJ513" s="38"/>
    </row>
    <row r="514" spans="1:86" ht="13.5" customHeight="1">
      <c r="A514" s="136"/>
      <c r="B514" s="135"/>
      <c r="C514" s="135"/>
      <c r="D514" s="90"/>
      <c r="E514" s="90"/>
      <c r="F514" s="90"/>
      <c r="G514" s="90"/>
      <c r="H514" s="90"/>
      <c r="I514" s="90"/>
      <c r="J514" s="132"/>
      <c r="K514" s="605"/>
      <c r="L514" s="605"/>
      <c r="M514" s="605"/>
      <c r="N514" s="605"/>
      <c r="O514" s="605"/>
      <c r="P514" s="605"/>
      <c r="Q514" s="132"/>
      <c r="R514" s="90"/>
      <c r="S514" s="132"/>
      <c r="T514" s="135"/>
      <c r="U514" s="135"/>
      <c r="V514" s="135"/>
      <c r="W514" s="135"/>
      <c r="X514" s="132"/>
      <c r="Y514" s="132"/>
      <c r="Z514" s="85"/>
      <c r="AE514" s="276"/>
      <c r="BH514" s="38"/>
      <c r="BI514" s="38"/>
      <c r="BJ514" s="38"/>
    </row>
    <row r="515" spans="1:86" ht="13.5" customHeight="1">
      <c r="A515" s="136"/>
      <c r="B515" s="641" t="s">
        <v>706</v>
      </c>
      <c r="C515" s="610"/>
      <c r="D515" s="610"/>
      <c r="E515" s="610"/>
      <c r="F515" s="610"/>
      <c r="G515" s="610"/>
      <c r="H515" s="610"/>
      <c r="I515" s="90"/>
      <c r="J515" s="132"/>
      <c r="K515" s="605"/>
      <c r="L515" s="605"/>
      <c r="M515" s="605"/>
      <c r="N515" s="605"/>
      <c r="O515" s="605"/>
      <c r="P515" s="605"/>
      <c r="Q515" s="132"/>
      <c r="R515" s="90"/>
      <c r="S515" s="132"/>
      <c r="T515" s="135"/>
      <c r="U515" s="135"/>
      <c r="V515" s="135"/>
      <c r="W515" s="135"/>
      <c r="X515" s="132"/>
      <c r="Y515" s="132"/>
      <c r="Z515" s="85"/>
      <c r="AE515" s="276"/>
      <c r="BH515" s="38"/>
      <c r="BI515" s="38"/>
      <c r="BJ515" s="38"/>
    </row>
    <row r="516" spans="1:86" ht="13.5" customHeight="1">
      <c r="A516" s="136"/>
      <c r="B516" s="641"/>
      <c r="C516" s="610"/>
      <c r="D516" s="610"/>
      <c r="E516" s="610"/>
      <c r="F516" s="610"/>
      <c r="G516" s="610"/>
      <c r="H516" s="610"/>
      <c r="I516" s="90"/>
      <c r="J516" s="132"/>
      <c r="K516" s="605"/>
      <c r="L516" s="605"/>
      <c r="M516" s="605"/>
      <c r="N516" s="605"/>
      <c r="O516" s="605"/>
      <c r="P516" s="605"/>
      <c r="Q516" s="132"/>
      <c r="R516" s="90"/>
      <c r="S516" s="132"/>
      <c r="T516" s="135"/>
      <c r="U516" s="135"/>
      <c r="V516" s="135"/>
      <c r="W516" s="135"/>
      <c r="X516" s="132"/>
      <c r="Y516" s="132"/>
      <c r="Z516" s="85"/>
      <c r="AE516" s="276"/>
      <c r="BH516" s="38"/>
      <c r="BI516" s="38"/>
      <c r="BJ516" s="38"/>
    </row>
    <row r="517" spans="1:86" ht="15" customHeight="1">
      <c r="A517" s="136"/>
      <c r="B517" s="224"/>
      <c r="C517" s="130" t="s">
        <v>482</v>
      </c>
      <c r="D517" s="85"/>
      <c r="E517" s="85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85"/>
      <c r="AE517" s="276"/>
      <c r="BH517" s="38"/>
      <c r="BI517" s="38"/>
      <c r="BJ517" s="38"/>
    </row>
    <row r="518" spans="1:86" ht="9.75" customHeight="1">
      <c r="A518" s="136"/>
      <c r="B518" s="224"/>
      <c r="C518" s="125" t="s">
        <v>362</v>
      </c>
      <c r="D518" s="296" t="s">
        <v>316</v>
      </c>
      <c r="E518" s="643" t="s">
        <v>708</v>
      </c>
      <c r="F518" s="125"/>
      <c r="G518" s="125"/>
      <c r="H518" s="125"/>
      <c r="I518" s="125"/>
      <c r="J518" s="125"/>
      <c r="K518" s="125"/>
      <c r="L518" s="125"/>
      <c r="M518" s="85"/>
      <c r="N518" s="125"/>
      <c r="O518" s="125"/>
      <c r="Q518" s="297"/>
      <c r="R518" s="296"/>
      <c r="S518" s="296"/>
      <c r="T518" s="296"/>
      <c r="U518" s="125"/>
      <c r="V518" s="125"/>
      <c r="W518" s="132"/>
      <c r="X518" s="132"/>
      <c r="Y518" s="132"/>
      <c r="Z518" s="85"/>
      <c r="AE518" s="276"/>
      <c r="BH518" s="38"/>
      <c r="BI518" s="38"/>
      <c r="BJ518" s="38"/>
    </row>
    <row r="519" spans="1:86" ht="15" customHeight="1">
      <c r="A519" s="136"/>
      <c r="B519" s="136"/>
      <c r="E519" s="258"/>
      <c r="F519" s="258"/>
      <c r="G519" s="258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AE519" s="276"/>
      <c r="BH519" s="38"/>
      <c r="BI519" s="38"/>
      <c r="BJ519" s="38"/>
    </row>
    <row r="520" spans="1:86" ht="15" customHeight="1">
      <c r="A520" s="136"/>
      <c r="B520" s="1420" t="s">
        <v>157</v>
      </c>
      <c r="C520" s="1421"/>
      <c r="D520" s="1421"/>
      <c r="E520" s="1334" t="s">
        <v>548</v>
      </c>
      <c r="F520" s="1334"/>
      <c r="G520" s="1334"/>
      <c r="H520" s="1406" t="s">
        <v>549</v>
      </c>
      <c r="I520" s="1406"/>
      <c r="J520" s="1406"/>
      <c r="K520" s="1406"/>
      <c r="L520" s="1084" t="s">
        <v>286</v>
      </c>
      <c r="M520" s="1084"/>
      <c r="N520" s="1084" t="s">
        <v>550</v>
      </c>
      <c r="O520" s="1084"/>
      <c r="P520" s="1084"/>
      <c r="Q520" s="1084" t="s">
        <v>287</v>
      </c>
      <c r="R520" s="1084"/>
      <c r="S520" s="1084"/>
      <c r="T520" s="1084" t="s">
        <v>288</v>
      </c>
      <c r="U520" s="1084"/>
      <c r="V520" s="1084"/>
      <c r="W520" s="1084" t="s">
        <v>289</v>
      </c>
      <c r="X520" s="1084"/>
      <c r="Y520" s="1311"/>
      <c r="AE520" s="276"/>
      <c r="BH520" s="38"/>
      <c r="BI520" s="38"/>
      <c r="BJ520" s="38"/>
    </row>
    <row r="521" spans="1:86" ht="10.5" customHeight="1">
      <c r="A521" s="136"/>
      <c r="B521" s="1325">
        <f>$F$5</f>
        <v>1.85</v>
      </c>
      <c r="C521" s="1326"/>
      <c r="D521" s="1326"/>
      <c r="E521" s="1335">
        <f>$J$5</f>
        <v>2.5</v>
      </c>
      <c r="F521" s="1335"/>
      <c r="G521" s="1335"/>
      <c r="H521" s="1335">
        <f>+N5+T92/1000</f>
        <v>1.7599999999999998</v>
      </c>
      <c r="I521" s="1335"/>
      <c r="J521" s="1335"/>
      <c r="K521" s="1335"/>
      <c r="L521" s="1332">
        <f>+R5</f>
        <v>150</v>
      </c>
      <c r="M521" s="1332"/>
      <c r="N521" s="1419">
        <f>+W577</f>
        <v>61.5</v>
      </c>
      <c r="O521" s="1332"/>
      <c r="P521" s="1332"/>
      <c r="Q521" s="1332">
        <f>ROUND(Q452+0.001*G508*AH199,1)</f>
        <v>31.7</v>
      </c>
      <c r="R521" s="1332"/>
      <c r="S521" s="1332"/>
      <c r="T521" s="1333">
        <f>+IF(Q521/(N521-Q521)&gt;1,0.5,1-0.5*(Q521/(N521-Q521)))</f>
        <v>0.5</v>
      </c>
      <c r="U521" s="1333"/>
      <c r="V521" s="1333"/>
      <c r="W521" s="1333">
        <f>+U585</f>
        <v>1.4352182518111363</v>
      </c>
      <c r="X521" s="1333"/>
      <c r="Y521" s="1308"/>
      <c r="AE521" s="276"/>
      <c r="BH521" s="38"/>
      <c r="BI521" s="38"/>
      <c r="BJ521" s="38"/>
    </row>
    <row r="522" spans="1:86" ht="14.25" customHeight="1" thickBot="1">
      <c r="A522" s="136"/>
      <c r="B522" s="159"/>
      <c r="C522" s="159"/>
      <c r="D522" s="159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258"/>
      <c r="R522" s="258"/>
      <c r="S522" s="258"/>
      <c r="T522" s="258"/>
      <c r="U522" s="258"/>
      <c r="V522" s="258"/>
      <c r="W522" s="258"/>
      <c r="X522" s="252"/>
      <c r="Y522" s="252"/>
      <c r="AC522" s="452"/>
      <c r="AD522" s="452" t="s">
        <v>369</v>
      </c>
      <c r="AE522" s="515" t="s">
        <v>483</v>
      </c>
      <c r="AF522" s="452"/>
      <c r="AG522" s="452"/>
      <c r="AH522" s="452"/>
      <c r="AI522" s="452"/>
      <c r="AJ522" s="452"/>
      <c r="BH522" s="38"/>
      <c r="BI522" s="38"/>
      <c r="BJ522" s="38"/>
    </row>
    <row r="523" spans="1:86" ht="14.25" customHeight="1" thickTop="1">
      <c r="A523" s="136"/>
      <c r="B523" s="913" t="s">
        <v>290</v>
      </c>
      <c r="C523" s="914"/>
      <c r="D523" s="915"/>
      <c r="E523" s="1351" t="s">
        <v>49</v>
      </c>
      <c r="F523" s="1351"/>
      <c r="G523" s="1351" t="s">
        <v>501</v>
      </c>
      <c r="H523" s="1351"/>
      <c r="I523" s="1351"/>
      <c r="J523" s="1351" t="s">
        <v>55</v>
      </c>
      <c r="K523" s="1351"/>
      <c r="L523" s="1351"/>
      <c r="M523" s="1351" t="s">
        <v>500</v>
      </c>
      <c r="N523" s="1351"/>
      <c r="O523" s="1415" t="s">
        <v>569</v>
      </c>
      <c r="P523" s="1415"/>
      <c r="Q523" s="1416"/>
      <c r="S523" s="259"/>
      <c r="T523" s="259"/>
      <c r="U523" s="259"/>
      <c r="V523" s="259"/>
      <c r="X523" s="259"/>
      <c r="Y523" s="259"/>
      <c r="Z523" s="259"/>
      <c r="AE523" s="276"/>
      <c r="BH523" s="38"/>
      <c r="BI523" s="38"/>
      <c r="BJ523" s="38"/>
    </row>
    <row r="524" spans="1:86" ht="14.25" customHeight="1">
      <c r="A524" s="136"/>
      <c r="B524" s="916"/>
      <c r="C524" s="917"/>
      <c r="D524" s="918"/>
      <c r="E524" s="1352"/>
      <c r="F524" s="1352"/>
      <c r="G524" s="1352"/>
      <c r="H524" s="1352"/>
      <c r="I524" s="1352"/>
      <c r="J524" s="1352"/>
      <c r="K524" s="1352"/>
      <c r="L524" s="1352"/>
      <c r="M524" s="1352"/>
      <c r="N524" s="1352"/>
      <c r="O524" s="1417"/>
      <c r="P524" s="1417"/>
      <c r="Q524" s="1418"/>
      <c r="S524" s="259"/>
      <c r="T524" s="259"/>
      <c r="U524" s="259"/>
      <c r="V524" s="259"/>
      <c r="X524" s="259"/>
      <c r="Y524" s="259"/>
      <c r="Z524" s="259"/>
      <c r="AD524" s="11"/>
      <c r="AE524" s="12"/>
      <c r="AF524" s="13"/>
      <c r="AG524" s="13"/>
      <c r="AJ524" s="490" t="s">
        <v>326</v>
      </c>
      <c r="AK524" s="490" t="s">
        <v>314</v>
      </c>
      <c r="AL524" s="882" t="s">
        <v>314</v>
      </c>
      <c r="AM524" s="882"/>
      <c r="AN524" s="882" t="s">
        <v>753</v>
      </c>
      <c r="AO524" s="882"/>
      <c r="AS524" s="14" t="s">
        <v>11</v>
      </c>
      <c r="AT524" s="13"/>
      <c r="AU524" s="13"/>
      <c r="AV524" s="13"/>
      <c r="AX524" s="490" t="s">
        <v>326</v>
      </c>
      <c r="AY524" s="490" t="s">
        <v>314</v>
      </c>
      <c r="BH524" s="38"/>
      <c r="BI524" s="38"/>
      <c r="BJ524" s="38"/>
      <c r="BK524" s="38"/>
    </row>
    <row r="525" spans="1:86" ht="14.25" customHeight="1">
      <c r="A525" s="136"/>
      <c r="B525" s="916"/>
      <c r="C525" s="917"/>
      <c r="D525" s="918"/>
      <c r="E525" s="1357" t="s">
        <v>20</v>
      </c>
      <c r="F525" s="1357"/>
      <c r="G525" s="1358" t="s">
        <v>295</v>
      </c>
      <c r="H525" s="1358"/>
      <c r="I525" s="1358"/>
      <c r="J525" s="1359" t="s">
        <v>296</v>
      </c>
      <c r="K525" s="1359"/>
      <c r="L525" s="1359"/>
      <c r="M525" s="1359" t="s">
        <v>297</v>
      </c>
      <c r="N525" s="1359"/>
      <c r="O525" s="1359" t="s">
        <v>298</v>
      </c>
      <c r="P525" s="1359"/>
      <c r="Q525" s="1360"/>
      <c r="S525" s="260"/>
      <c r="T525" s="260"/>
      <c r="U525" s="260"/>
      <c r="V525" s="260"/>
      <c r="X525" s="12"/>
      <c r="Y525" s="12"/>
      <c r="Z525" s="12"/>
      <c r="AD525" s="958" t="s">
        <v>19</v>
      </c>
      <c r="AE525" s="959"/>
      <c r="AF525" s="960"/>
      <c r="AG525" s="1365" t="s">
        <v>20</v>
      </c>
      <c r="AH525" s="1366"/>
      <c r="AI525" s="18" t="s">
        <v>21</v>
      </c>
      <c r="AJ525" s="928" t="s">
        <v>22</v>
      </c>
      <c r="AK525" s="928" t="s">
        <v>22</v>
      </c>
      <c r="AL525" s="18"/>
      <c r="AM525" s="1337"/>
      <c r="AN525" s="18" t="s">
        <v>23</v>
      </c>
      <c r="AO525" s="1337" t="s">
        <v>24</v>
      </c>
      <c r="AP525" s="11"/>
      <c r="AQ525" s="1423" t="s">
        <v>25</v>
      </c>
      <c r="AR525" s="330"/>
      <c r="AS525" s="1423" t="s">
        <v>26</v>
      </c>
      <c r="AT525" s="1423"/>
      <c r="AU525" s="1423" t="s">
        <v>27</v>
      </c>
      <c r="AV525" s="1423"/>
      <c r="AX525" s="883" t="s">
        <v>754</v>
      </c>
      <c r="AY525" s="885" t="s">
        <v>754</v>
      </c>
      <c r="BH525" s="38"/>
      <c r="BI525" s="38"/>
      <c r="BJ525" s="38"/>
      <c r="BK525" s="38"/>
    </row>
    <row r="526" spans="1:86" ht="14.25" customHeight="1">
      <c r="A526" s="136"/>
      <c r="B526" s="919"/>
      <c r="C526" s="920"/>
      <c r="D526" s="921"/>
      <c r="E526" s="1357"/>
      <c r="F526" s="1357"/>
      <c r="G526" s="1358"/>
      <c r="H526" s="1358"/>
      <c r="I526" s="1358"/>
      <c r="J526" s="1359"/>
      <c r="K526" s="1359"/>
      <c r="L526" s="1359"/>
      <c r="M526" s="1359"/>
      <c r="N526" s="1359"/>
      <c r="O526" s="1359"/>
      <c r="P526" s="1359"/>
      <c r="Q526" s="1360"/>
      <c r="S526" s="260"/>
      <c r="T526" s="260"/>
      <c r="U526" s="260"/>
      <c r="V526" s="260"/>
      <c r="X526" s="12"/>
      <c r="Y526" s="12"/>
      <c r="Z526" s="12"/>
      <c r="AD526" s="961"/>
      <c r="AE526" s="962"/>
      <c r="AF526" s="963"/>
      <c r="AG526" s="1367"/>
      <c r="AH526" s="1368"/>
      <c r="AI526" s="539" t="s">
        <v>30</v>
      </c>
      <c r="AJ526" s="929"/>
      <c r="AK526" s="929"/>
      <c r="AL526" s="539"/>
      <c r="AM526" s="1338"/>
      <c r="AN526" s="539" t="s">
        <v>32</v>
      </c>
      <c r="AO526" s="1338"/>
      <c r="AP526" s="11"/>
      <c r="AQ526" s="1423"/>
      <c r="AR526" s="330"/>
      <c r="AS526" s="1423"/>
      <c r="AT526" s="1423"/>
      <c r="AU526" s="1423"/>
      <c r="AV526" s="1423"/>
      <c r="AX526" s="884"/>
      <c r="AY526" s="886"/>
      <c r="BH526" s="38"/>
      <c r="BI526" s="38"/>
      <c r="BJ526" s="38"/>
      <c r="BK526" s="38"/>
    </row>
    <row r="527" spans="1:86" ht="14.25" customHeight="1">
      <c r="A527" s="136"/>
      <c r="B527" s="569"/>
      <c r="C527" s="526"/>
      <c r="D527" s="572"/>
      <c r="E527" s="909"/>
      <c r="F527" s="909"/>
      <c r="G527" s="910"/>
      <c r="H527" s="910"/>
      <c r="I527" s="910"/>
      <c r="J527" s="911"/>
      <c r="K527" s="912"/>
      <c r="L527" s="912"/>
      <c r="M527" s="906"/>
      <c r="N527" s="906"/>
      <c r="O527" s="907"/>
      <c r="P527" s="907"/>
      <c r="Q527" s="908"/>
      <c r="S527" s="264"/>
      <c r="T527" s="264"/>
      <c r="U527" s="264"/>
      <c r="V527" s="264"/>
      <c r="X527" s="264"/>
      <c r="Y527" s="264"/>
      <c r="Z527" s="264"/>
      <c r="AD527" s="552"/>
      <c r="AE527" s="554"/>
      <c r="AF527" s="551"/>
      <c r="AG527" s="1427"/>
      <c r="AH527" s="1427"/>
      <c r="AI527" s="591"/>
      <c r="AJ527" s="604"/>
      <c r="AK527" s="734"/>
      <c r="AL527" s="1409"/>
      <c r="AM527" s="1410"/>
      <c r="AN527" s="1424"/>
      <c r="AO527" s="1425"/>
      <c r="AP527" s="558" t="str">
        <f>+IF(AG527=1,"","no")</f>
        <v>no</v>
      </c>
      <c r="AQ527" s="556">
        <f>SUM(AG527)/2</f>
        <v>0</v>
      </c>
      <c r="AR527" s="29"/>
      <c r="AS527" s="871">
        <v>1</v>
      </c>
      <c r="AT527" s="871"/>
      <c r="AU527" s="863">
        <f t="shared" ref="AU527:AU552" si="34">+AF11</f>
        <v>4</v>
      </c>
      <c r="AV527" s="864"/>
      <c r="AX527" s="735">
        <f>+IF(OR(AJ527&lt;0,""),0,AG527*AI527)</f>
        <v>0</v>
      </c>
      <c r="AY527" s="736">
        <f>+IF(OR(AK527&lt;0,""),0,AI527*AG527)</f>
        <v>0</v>
      </c>
      <c r="BH527" s="38"/>
      <c r="BI527" s="38"/>
      <c r="BJ527" s="38"/>
      <c r="BK527" s="38"/>
      <c r="CG527" s="5"/>
      <c r="CH527" s="5"/>
    </row>
    <row r="528" spans="1:86" ht="14.25" customHeight="1">
      <c r="A528" s="136"/>
      <c r="B528" s="569">
        <f>+AD528</f>
        <v>1.7599999999999998</v>
      </c>
      <c r="C528" s="526" t="s">
        <v>35</v>
      </c>
      <c r="D528" s="572">
        <f t="shared" ref="D528:D533" si="35">+AF528</f>
        <v>2</v>
      </c>
      <c r="E528" s="909">
        <f t="shared" ref="E528:E533" si="36">+D528-B528</f>
        <v>0.24000000000000021</v>
      </c>
      <c r="F528" s="909"/>
      <c r="G528" s="910">
        <f t="shared" ref="G528:G533" si="37">+AQ528</f>
        <v>0.12000000000000011</v>
      </c>
      <c r="H528" s="910"/>
      <c r="I528" s="910"/>
      <c r="J528" s="911">
        <f t="shared" ref="J528:J533" si="38">+AI528</f>
        <v>10000</v>
      </c>
      <c r="K528" s="912"/>
      <c r="L528" s="912"/>
      <c r="M528" s="906">
        <f t="shared" ref="M528:M533" si="39">IF(($E$521/$B$521)&lt;10,AK528,AJ528)</f>
        <v>0.15947581521370269</v>
      </c>
      <c r="N528" s="906"/>
      <c r="O528" s="907">
        <f t="shared" ref="O528:O533" si="40">IF(J528=0,0,IF(M528&lt;0,0,ROUND(M528*E528/J528,7)))</f>
        <v>3.8E-6</v>
      </c>
      <c r="P528" s="907"/>
      <c r="Q528" s="908"/>
      <c r="S528" s="264"/>
      <c r="T528" s="264"/>
      <c r="U528" s="264"/>
      <c r="V528" s="264"/>
      <c r="X528" s="264"/>
      <c r="Y528" s="264"/>
      <c r="Z528" s="264"/>
      <c r="AD528" s="41">
        <f>+H521</f>
        <v>1.7599999999999998</v>
      </c>
      <c r="AE528" s="341" t="str">
        <f t="shared" ref="AE528:AF542" si="41">+AE459</f>
        <v>~</v>
      </c>
      <c r="AF528" s="551">
        <f t="shared" si="41"/>
        <v>2</v>
      </c>
      <c r="AG528" s="1426">
        <f>+AF528-AD528</f>
        <v>0.24000000000000021</v>
      </c>
      <c r="AH528" s="1426"/>
      <c r="AI528" s="591">
        <f t="shared" ref="AI528:AI553" si="42">+AI459</f>
        <v>10000</v>
      </c>
      <c r="AJ528" s="604">
        <f t="shared" ref="AJ528:AJ553" si="43">IF(AG528="","",(IF(AQ528&lt;$AQ$574,(AQ528*$AL$572+$AM$572),(AQ528*$AL$573+$AM$573))))</f>
        <v>0.22405720854845915</v>
      </c>
      <c r="AK528" s="734">
        <f t="shared" ref="AK528:AK553" si="44">IF(AG528="","",(IF(AQ528&lt;$AQ$570,($AL$568*AQ528+$AM$568),((AQ528*$AL$569+$AM$569)))))</f>
        <v>0.15947581521370269</v>
      </c>
      <c r="AL528" s="1409">
        <f t="shared" ref="AL528:AL553" si="45">+ROUND(IF(AK528&lt;0,0,AK528*AG528/AI528),7)</f>
        <v>3.8E-6</v>
      </c>
      <c r="AM528" s="1410"/>
      <c r="AN528" s="1424">
        <f t="shared" ref="AN528:AN552" si="46">+ROUND(IF(AJ528&lt;0,0,AJ528*AG528/AI528),7)</f>
        <v>5.4E-6</v>
      </c>
      <c r="AO528" s="1425"/>
      <c r="AP528" s="558" t="str">
        <f t="shared" ref="AP528:AP556" si="47">+IF(AG528=1,"","no")</f>
        <v>no</v>
      </c>
      <c r="AQ528" s="556">
        <f>SUM(AG527)+(AG528/2)</f>
        <v>0.12000000000000011</v>
      </c>
      <c r="AR528" s="29"/>
      <c r="AS528" s="871">
        <v>2</v>
      </c>
      <c r="AT528" s="871"/>
      <c r="AU528" s="863">
        <f t="shared" si="34"/>
        <v>5</v>
      </c>
      <c r="AV528" s="864"/>
      <c r="AX528" s="735">
        <f t="shared" ref="AX528:AX556" si="48">+IF(OR(AJ528&lt;0,""),0,AG528*AI528)</f>
        <v>2400.0000000000023</v>
      </c>
      <c r="AY528" s="736">
        <f t="shared" ref="AY528:AY556" si="49">+IF(OR(AK528&lt;0,""),0,AI528*AG528)</f>
        <v>2400.0000000000023</v>
      </c>
      <c r="BH528" s="38"/>
      <c r="BI528" s="38"/>
      <c r="BJ528" s="38"/>
      <c r="BK528" s="38"/>
      <c r="CG528" s="5"/>
      <c r="CH528" s="5"/>
    </row>
    <row r="529" spans="1:96" ht="14.25" customHeight="1">
      <c r="A529" s="136"/>
      <c r="B529" s="569">
        <f t="shared" ref="B529:B533" si="50">+AD529</f>
        <v>2</v>
      </c>
      <c r="C529" s="526" t="s">
        <v>35</v>
      </c>
      <c r="D529" s="572">
        <f t="shared" si="35"/>
        <v>3</v>
      </c>
      <c r="E529" s="909">
        <f t="shared" si="36"/>
        <v>1</v>
      </c>
      <c r="F529" s="909"/>
      <c r="G529" s="910">
        <f t="shared" si="37"/>
        <v>0.74000000000000021</v>
      </c>
      <c r="H529" s="910"/>
      <c r="I529" s="910"/>
      <c r="J529" s="911">
        <f t="shared" si="38"/>
        <v>10000</v>
      </c>
      <c r="K529" s="912"/>
      <c r="L529" s="912"/>
      <c r="M529" s="906">
        <f t="shared" si="39"/>
        <v>0.48167852715116621</v>
      </c>
      <c r="N529" s="906"/>
      <c r="O529" s="907">
        <f t="shared" si="40"/>
        <v>4.8199999999999999E-5</v>
      </c>
      <c r="P529" s="907"/>
      <c r="Q529" s="908"/>
      <c r="S529" s="264"/>
      <c r="T529" s="264"/>
      <c r="U529" s="264"/>
      <c r="V529" s="264"/>
      <c r="X529" s="264"/>
      <c r="Y529" s="264"/>
      <c r="Z529" s="264"/>
      <c r="AD529" s="41">
        <f t="shared" ref="AD529:AD556" si="51">+AF528</f>
        <v>2</v>
      </c>
      <c r="AE529" s="341" t="str">
        <f t="shared" si="41"/>
        <v>~</v>
      </c>
      <c r="AF529" s="551">
        <f t="shared" si="41"/>
        <v>3</v>
      </c>
      <c r="AG529" s="1426">
        <f t="shared" ref="AG529:AG553" si="52">+AF529-AD529</f>
        <v>1</v>
      </c>
      <c r="AH529" s="1426"/>
      <c r="AI529" s="591">
        <f t="shared" si="42"/>
        <v>10000</v>
      </c>
      <c r="AJ529" s="604">
        <f t="shared" si="43"/>
        <v>0.34835278604883124</v>
      </c>
      <c r="AK529" s="734">
        <f t="shared" si="44"/>
        <v>0.48167852715116621</v>
      </c>
      <c r="AL529" s="1409">
        <f t="shared" si="45"/>
        <v>4.8199999999999999E-5</v>
      </c>
      <c r="AM529" s="1410"/>
      <c r="AN529" s="1424">
        <f t="shared" si="46"/>
        <v>3.4799999999999999E-5</v>
      </c>
      <c r="AO529" s="1425"/>
      <c r="AP529" s="558" t="str">
        <f t="shared" si="47"/>
        <v/>
      </c>
      <c r="AQ529" s="556">
        <f>SUM($AG$527:AG528)+(AG529/2)</f>
        <v>0.74000000000000021</v>
      </c>
      <c r="AR529" s="29"/>
      <c r="AS529" s="871">
        <v>3</v>
      </c>
      <c r="AT529" s="871"/>
      <c r="AU529" s="863">
        <f t="shared" si="34"/>
        <v>5</v>
      </c>
      <c r="AV529" s="864"/>
      <c r="AX529" s="735">
        <f t="shared" si="48"/>
        <v>10000</v>
      </c>
      <c r="AY529" s="736">
        <f t="shared" si="49"/>
        <v>10000</v>
      </c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38"/>
      <c r="CH529" s="5"/>
    </row>
    <row r="530" spans="1:96" ht="14.25" customHeight="1">
      <c r="A530" s="136"/>
      <c r="B530" s="569">
        <f t="shared" si="50"/>
        <v>3</v>
      </c>
      <c r="C530" s="526" t="s">
        <v>35</v>
      </c>
      <c r="D530" s="572">
        <f t="shared" si="35"/>
        <v>4</v>
      </c>
      <c r="E530" s="909">
        <f t="shared" si="36"/>
        <v>1</v>
      </c>
      <c r="F530" s="909"/>
      <c r="G530" s="910">
        <f t="shared" si="37"/>
        <v>1.7400000000000002</v>
      </c>
      <c r="H530" s="910"/>
      <c r="I530" s="910"/>
      <c r="J530" s="911">
        <f t="shared" si="38"/>
        <v>9500</v>
      </c>
      <c r="K530" s="912"/>
      <c r="L530" s="912"/>
      <c r="M530" s="906">
        <f t="shared" si="39"/>
        <v>0.42001975259365076</v>
      </c>
      <c r="N530" s="906"/>
      <c r="O530" s="907">
        <f t="shared" si="40"/>
        <v>4.4199999999999997E-5</v>
      </c>
      <c r="P530" s="907"/>
      <c r="Q530" s="908"/>
      <c r="S530" s="264"/>
      <c r="T530" s="264"/>
      <c r="U530" s="264"/>
      <c r="V530" s="264"/>
      <c r="X530" s="264"/>
      <c r="Y530" s="264"/>
      <c r="Z530" s="264"/>
      <c r="AD530" s="41">
        <f t="shared" si="51"/>
        <v>3</v>
      </c>
      <c r="AE530" s="341" t="str">
        <f t="shared" si="41"/>
        <v>~</v>
      </c>
      <c r="AF530" s="551">
        <f t="shared" si="41"/>
        <v>4</v>
      </c>
      <c r="AG530" s="1426">
        <f t="shared" si="52"/>
        <v>1</v>
      </c>
      <c r="AH530" s="1426"/>
      <c r="AI530" s="591">
        <f t="shared" si="42"/>
        <v>9500</v>
      </c>
      <c r="AJ530" s="604">
        <f t="shared" si="43"/>
        <v>0.54882952395265727</v>
      </c>
      <c r="AK530" s="734">
        <f t="shared" si="44"/>
        <v>0.42001975259365076</v>
      </c>
      <c r="AL530" s="1409">
        <f t="shared" si="45"/>
        <v>4.4199999999999997E-5</v>
      </c>
      <c r="AM530" s="1410"/>
      <c r="AN530" s="1424">
        <f t="shared" si="46"/>
        <v>5.7800000000000002E-5</v>
      </c>
      <c r="AO530" s="1425"/>
      <c r="AP530" s="558" t="str">
        <f t="shared" si="47"/>
        <v/>
      </c>
      <c r="AQ530" s="556">
        <f>SUM($AG$527:AG529)+(AG530/2)</f>
        <v>1.7400000000000002</v>
      </c>
      <c r="AR530" s="29"/>
      <c r="AS530" s="871">
        <v>4</v>
      </c>
      <c r="AT530" s="871"/>
      <c r="AU530" s="863">
        <f t="shared" si="34"/>
        <v>4</v>
      </c>
      <c r="AV530" s="864"/>
      <c r="AX530" s="735">
        <f t="shared" si="48"/>
        <v>9500</v>
      </c>
      <c r="AY530" s="736">
        <f t="shared" si="49"/>
        <v>9500</v>
      </c>
      <c r="AZ530" s="20"/>
      <c r="BA530" s="20"/>
      <c r="BB530" s="20"/>
      <c r="BC530" s="21"/>
      <c r="BD530" s="21"/>
      <c r="BE530" s="21"/>
      <c r="BF530" s="21"/>
      <c r="BG530" s="21"/>
      <c r="BH530" s="20"/>
      <c r="BI530" s="20"/>
      <c r="BJ530" s="20"/>
      <c r="CH530" s="5"/>
    </row>
    <row r="531" spans="1:96" ht="14.25" customHeight="1">
      <c r="A531" s="136"/>
      <c r="B531" s="569">
        <f t="shared" si="50"/>
        <v>4</v>
      </c>
      <c r="C531" s="526" t="s">
        <v>35</v>
      </c>
      <c r="D531" s="572">
        <f t="shared" si="35"/>
        <v>5</v>
      </c>
      <c r="E531" s="909">
        <f t="shared" si="36"/>
        <v>1</v>
      </c>
      <c r="F531" s="909"/>
      <c r="G531" s="910">
        <f t="shared" si="37"/>
        <v>2.74</v>
      </c>
      <c r="H531" s="910"/>
      <c r="I531" s="910"/>
      <c r="J531" s="911">
        <f t="shared" si="38"/>
        <v>9000</v>
      </c>
      <c r="K531" s="912"/>
      <c r="L531" s="912"/>
      <c r="M531" s="906">
        <f t="shared" si="39"/>
        <v>0.19336452000524196</v>
      </c>
      <c r="N531" s="906"/>
      <c r="O531" s="907">
        <f t="shared" si="40"/>
        <v>2.1500000000000001E-5</v>
      </c>
      <c r="P531" s="907"/>
      <c r="Q531" s="908"/>
      <c r="S531" s="264"/>
      <c r="T531" s="264"/>
      <c r="U531" s="264"/>
      <c r="V531" s="264"/>
      <c r="X531" s="264"/>
      <c r="Y531" s="264"/>
      <c r="Z531" s="264"/>
      <c r="AD531" s="41">
        <f t="shared" si="51"/>
        <v>4</v>
      </c>
      <c r="AE531" s="341" t="str">
        <f t="shared" si="41"/>
        <v>~</v>
      </c>
      <c r="AF531" s="551">
        <f t="shared" si="41"/>
        <v>5</v>
      </c>
      <c r="AG531" s="1426">
        <f t="shared" si="52"/>
        <v>1</v>
      </c>
      <c r="AH531" s="1426"/>
      <c r="AI531" s="591">
        <f t="shared" si="42"/>
        <v>9000</v>
      </c>
      <c r="AJ531" s="604">
        <f t="shared" si="43"/>
        <v>0.4793351274718709</v>
      </c>
      <c r="AK531" s="734">
        <f t="shared" si="44"/>
        <v>0.19336452000524196</v>
      </c>
      <c r="AL531" s="1409">
        <f t="shared" si="45"/>
        <v>2.1500000000000001E-5</v>
      </c>
      <c r="AM531" s="1410"/>
      <c r="AN531" s="1424">
        <f t="shared" si="46"/>
        <v>5.3300000000000001E-5</v>
      </c>
      <c r="AO531" s="1425"/>
      <c r="AP531" s="558" t="str">
        <f t="shared" si="47"/>
        <v/>
      </c>
      <c r="AQ531" s="556">
        <f>SUM($AG$527:AG530)+(AG531/2)</f>
        <v>2.74</v>
      </c>
      <c r="AR531" s="29"/>
      <c r="AS531" s="871">
        <v>5</v>
      </c>
      <c r="AT531" s="871"/>
      <c r="AU531" s="863">
        <f t="shared" si="34"/>
        <v>3</v>
      </c>
      <c r="AV531" s="864"/>
      <c r="AX531" s="735">
        <f t="shared" si="48"/>
        <v>9000</v>
      </c>
      <c r="AY531" s="736">
        <f t="shared" si="49"/>
        <v>9000</v>
      </c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CH531" s="5"/>
    </row>
    <row r="532" spans="1:96" ht="14.25" customHeight="1">
      <c r="A532" s="136"/>
      <c r="B532" s="569">
        <f t="shared" si="50"/>
        <v>5</v>
      </c>
      <c r="C532" s="526" t="s">
        <v>35</v>
      </c>
      <c r="D532" s="572">
        <f t="shared" si="35"/>
        <v>6</v>
      </c>
      <c r="E532" s="909">
        <f t="shared" si="36"/>
        <v>1</v>
      </c>
      <c r="F532" s="909"/>
      <c r="G532" s="910">
        <f t="shared" si="37"/>
        <v>3.74</v>
      </c>
      <c r="H532" s="910"/>
      <c r="I532" s="910"/>
      <c r="J532" s="911">
        <f t="shared" si="38"/>
        <v>13000</v>
      </c>
      <c r="K532" s="912"/>
      <c r="L532" s="912"/>
      <c r="M532" s="906">
        <f t="shared" si="39"/>
        <v>-3.3290712583166737E-2</v>
      </c>
      <c r="N532" s="906"/>
      <c r="O532" s="907">
        <f t="shared" si="40"/>
        <v>0</v>
      </c>
      <c r="P532" s="907"/>
      <c r="Q532" s="908"/>
      <c r="S532" s="264"/>
      <c r="T532" s="264"/>
      <c r="U532" s="264"/>
      <c r="V532" s="264"/>
      <c r="X532" s="264"/>
      <c r="Y532" s="264"/>
      <c r="Z532" s="264"/>
      <c r="AD532" s="41">
        <f t="shared" si="51"/>
        <v>5</v>
      </c>
      <c r="AE532" s="341" t="str">
        <f t="shared" si="41"/>
        <v>~</v>
      </c>
      <c r="AF532" s="551">
        <f t="shared" si="41"/>
        <v>6</v>
      </c>
      <c r="AG532" s="1426">
        <f t="shared" si="52"/>
        <v>1</v>
      </c>
      <c r="AH532" s="1426"/>
      <c r="AI532" s="591">
        <f t="shared" si="42"/>
        <v>13000</v>
      </c>
      <c r="AJ532" s="604">
        <f t="shared" si="43"/>
        <v>0.37647351213455954</v>
      </c>
      <c r="AK532" s="734">
        <f t="shared" si="44"/>
        <v>-3.3290712583166737E-2</v>
      </c>
      <c r="AL532" s="1409">
        <f t="shared" si="45"/>
        <v>0</v>
      </c>
      <c r="AM532" s="1410"/>
      <c r="AN532" s="1424">
        <f t="shared" si="46"/>
        <v>2.9E-5</v>
      </c>
      <c r="AO532" s="1425"/>
      <c r="AP532" s="558" t="str">
        <f t="shared" si="47"/>
        <v/>
      </c>
      <c r="AQ532" s="556">
        <f>SUM($AG$527:AG531)+(AG532/2)</f>
        <v>3.74</v>
      </c>
      <c r="AR532" s="29"/>
      <c r="AS532" s="871">
        <v>6</v>
      </c>
      <c r="AT532" s="871"/>
      <c r="AU532" s="863">
        <f t="shared" si="34"/>
        <v>11</v>
      </c>
      <c r="AV532" s="864"/>
      <c r="AX532" s="735">
        <f t="shared" si="48"/>
        <v>13000</v>
      </c>
      <c r="AY532" s="736">
        <f t="shared" si="49"/>
        <v>0</v>
      </c>
      <c r="AZ532" s="20"/>
      <c r="BA532" s="20"/>
      <c r="BB532" s="20"/>
      <c r="BC532" s="21"/>
      <c r="BD532" s="21"/>
      <c r="BE532" s="21"/>
      <c r="BF532" s="21"/>
      <c r="BG532" s="21"/>
      <c r="BH532" s="20"/>
      <c r="BI532" s="20"/>
      <c r="BJ532" s="20"/>
      <c r="CH532" s="5"/>
    </row>
    <row r="533" spans="1:96" ht="14.25" customHeight="1">
      <c r="A533" s="136"/>
      <c r="B533" s="569">
        <f t="shared" si="50"/>
        <v>6</v>
      </c>
      <c r="C533" s="526" t="s">
        <v>35</v>
      </c>
      <c r="D533" s="572">
        <f t="shared" si="35"/>
        <v>7</v>
      </c>
      <c r="E533" s="909">
        <f t="shared" si="36"/>
        <v>1</v>
      </c>
      <c r="F533" s="909"/>
      <c r="G533" s="910">
        <f t="shared" si="37"/>
        <v>4.74</v>
      </c>
      <c r="H533" s="910"/>
      <c r="I533" s="910"/>
      <c r="J533" s="911">
        <f t="shared" si="38"/>
        <v>299600</v>
      </c>
      <c r="K533" s="912"/>
      <c r="L533" s="912"/>
      <c r="M533" s="906">
        <f t="shared" si="39"/>
        <v>-0.25994594517157565</v>
      </c>
      <c r="N533" s="906"/>
      <c r="O533" s="907">
        <f t="shared" si="40"/>
        <v>0</v>
      </c>
      <c r="P533" s="907"/>
      <c r="Q533" s="908"/>
      <c r="S533" s="264"/>
      <c r="T533" s="264"/>
      <c r="U533" s="264"/>
      <c r="V533" s="264"/>
      <c r="X533" s="264"/>
      <c r="Y533" s="264"/>
      <c r="Z533" s="264"/>
      <c r="AD533" s="41">
        <f t="shared" si="51"/>
        <v>6</v>
      </c>
      <c r="AE533" s="341" t="str">
        <f t="shared" si="41"/>
        <v>~</v>
      </c>
      <c r="AF533" s="551">
        <f t="shared" si="41"/>
        <v>7</v>
      </c>
      <c r="AG533" s="1426">
        <f t="shared" si="52"/>
        <v>1</v>
      </c>
      <c r="AH533" s="1426"/>
      <c r="AI533" s="591">
        <f t="shared" si="42"/>
        <v>299600</v>
      </c>
      <c r="AJ533" s="604">
        <f t="shared" si="43"/>
        <v>0.27361189679724818</v>
      </c>
      <c r="AK533" s="734">
        <f t="shared" si="44"/>
        <v>-0.25994594517157565</v>
      </c>
      <c r="AL533" s="1409">
        <f t="shared" si="45"/>
        <v>0</v>
      </c>
      <c r="AM533" s="1410"/>
      <c r="AN533" s="1424">
        <f t="shared" si="46"/>
        <v>8.9999999999999996E-7</v>
      </c>
      <c r="AO533" s="1425"/>
      <c r="AP533" s="558" t="str">
        <f t="shared" si="47"/>
        <v/>
      </c>
      <c r="AQ533" s="556">
        <f>SUM($AG$527:AG532)+(AG533/2)</f>
        <v>4.74</v>
      </c>
      <c r="AR533" s="29"/>
      <c r="AS533" s="871">
        <v>7</v>
      </c>
      <c r="AT533" s="871"/>
      <c r="AU533" s="863">
        <f t="shared" si="34"/>
        <v>214</v>
      </c>
      <c r="AV533" s="864"/>
      <c r="AX533" s="735">
        <f t="shared" si="48"/>
        <v>299600</v>
      </c>
      <c r="AY533" s="736">
        <f t="shared" si="49"/>
        <v>0</v>
      </c>
      <c r="AZ533" s="20"/>
      <c r="BA533" s="20"/>
      <c r="BB533" s="20"/>
      <c r="BC533" s="17"/>
      <c r="BD533" s="17"/>
      <c r="BE533" s="17"/>
      <c r="BF533" s="17"/>
      <c r="BG533" s="17"/>
      <c r="BH533" s="17"/>
      <c r="BI533" s="17"/>
      <c r="BJ533" s="17"/>
      <c r="CH533" s="5"/>
    </row>
    <row r="534" spans="1:96" ht="14.25" customHeight="1">
      <c r="A534" s="136"/>
      <c r="B534" s="569"/>
      <c r="C534" s="526"/>
      <c r="D534" s="572"/>
      <c r="E534" s="909"/>
      <c r="F534" s="909"/>
      <c r="G534" s="910"/>
      <c r="H534" s="910"/>
      <c r="I534" s="910"/>
      <c r="J534" s="911"/>
      <c r="K534" s="912"/>
      <c r="L534" s="912"/>
      <c r="M534" s="906"/>
      <c r="N534" s="906"/>
      <c r="O534" s="907"/>
      <c r="P534" s="907"/>
      <c r="Q534" s="908"/>
      <c r="S534" s="264"/>
      <c r="T534" s="264"/>
      <c r="U534" s="264"/>
      <c r="V534" s="264"/>
      <c r="X534" s="264"/>
      <c r="Y534" s="264"/>
      <c r="Z534" s="264"/>
      <c r="AD534" s="41">
        <f t="shared" si="51"/>
        <v>7</v>
      </c>
      <c r="AE534" s="341" t="str">
        <f t="shared" si="41"/>
        <v>~</v>
      </c>
      <c r="AF534" s="551">
        <f t="shared" si="41"/>
        <v>8</v>
      </c>
      <c r="AG534" s="1426">
        <f t="shared" si="52"/>
        <v>1</v>
      </c>
      <c r="AH534" s="1426"/>
      <c r="AI534" s="591">
        <f t="shared" si="42"/>
        <v>525000</v>
      </c>
      <c r="AJ534" s="604">
        <f t="shared" si="43"/>
        <v>0.17075028145993687</v>
      </c>
      <c r="AK534" s="734">
        <f t="shared" si="44"/>
        <v>-0.48660117775998424</v>
      </c>
      <c r="AL534" s="1409">
        <f t="shared" si="45"/>
        <v>0</v>
      </c>
      <c r="AM534" s="1410"/>
      <c r="AN534" s="1424">
        <f t="shared" si="46"/>
        <v>2.9999999999999999E-7</v>
      </c>
      <c r="AO534" s="1425"/>
      <c r="AP534" s="558" t="str">
        <f t="shared" si="47"/>
        <v/>
      </c>
      <c r="AQ534" s="556">
        <f>SUM($AG$527:AG533)+(AG534/2)</f>
        <v>5.74</v>
      </c>
      <c r="AR534" s="29"/>
      <c r="AS534" s="871">
        <v>8</v>
      </c>
      <c r="AT534" s="871"/>
      <c r="AU534" s="863">
        <f t="shared" si="34"/>
        <v>375</v>
      </c>
      <c r="AV534" s="864"/>
      <c r="AX534" s="735">
        <f t="shared" si="48"/>
        <v>525000</v>
      </c>
      <c r="AY534" s="736">
        <f t="shared" si="49"/>
        <v>0</v>
      </c>
      <c r="AZ534" s="20"/>
      <c r="BA534" s="20"/>
      <c r="BB534" s="20"/>
      <c r="BC534" s="352"/>
      <c r="BD534" s="352"/>
      <c r="BE534" s="352"/>
      <c r="BF534" s="352"/>
      <c r="BG534" s="352"/>
      <c r="BH534" s="17"/>
      <c r="BI534" s="17"/>
      <c r="BJ534" s="17"/>
      <c r="CH534" s="5"/>
    </row>
    <row r="535" spans="1:96" ht="14.25" customHeight="1">
      <c r="A535" s="136"/>
      <c r="B535" s="569"/>
      <c r="C535" s="526"/>
      <c r="D535" s="572"/>
      <c r="E535" s="909"/>
      <c r="F535" s="909"/>
      <c r="G535" s="910"/>
      <c r="H535" s="910"/>
      <c r="I535" s="910"/>
      <c r="J535" s="911"/>
      <c r="K535" s="912"/>
      <c r="L535" s="912"/>
      <c r="M535" s="906"/>
      <c r="N535" s="906"/>
      <c r="O535" s="907"/>
      <c r="P535" s="907"/>
      <c r="Q535" s="908"/>
      <c r="S535" s="264"/>
      <c r="T535" s="264"/>
      <c r="U535" s="264"/>
      <c r="V535" s="264"/>
      <c r="X535" s="264"/>
      <c r="Y535" s="264"/>
      <c r="Z535" s="264"/>
      <c r="AD535" s="41">
        <f t="shared" si="51"/>
        <v>8</v>
      </c>
      <c r="AE535" s="341" t="str">
        <f t="shared" si="41"/>
        <v>~</v>
      </c>
      <c r="AF535" s="551">
        <f t="shared" si="41"/>
        <v>9</v>
      </c>
      <c r="AG535" s="1426">
        <f t="shared" si="52"/>
        <v>1</v>
      </c>
      <c r="AH535" s="1426"/>
      <c r="AI535" s="591">
        <f t="shared" si="42"/>
        <v>700000.00000000012</v>
      </c>
      <c r="AJ535" s="604">
        <f t="shared" si="43"/>
        <v>6.7888666122625452E-2</v>
      </c>
      <c r="AK535" s="734">
        <f t="shared" si="44"/>
        <v>-0.71325641034839304</v>
      </c>
      <c r="AL535" s="1409">
        <f t="shared" si="45"/>
        <v>0</v>
      </c>
      <c r="AM535" s="1410"/>
      <c r="AN535" s="1424">
        <f t="shared" si="46"/>
        <v>9.9999999999999995E-8</v>
      </c>
      <c r="AO535" s="1425"/>
      <c r="AP535" s="558" t="str">
        <f t="shared" si="47"/>
        <v/>
      </c>
      <c r="AQ535" s="556">
        <f>SUM($AG$527:AG534)+(AG535/2)</f>
        <v>6.74</v>
      </c>
      <c r="AR535" s="29"/>
      <c r="AS535" s="871">
        <v>9</v>
      </c>
      <c r="AT535" s="871"/>
      <c r="AU535" s="863">
        <f t="shared" si="34"/>
        <v>500.00000000000006</v>
      </c>
      <c r="AV535" s="864"/>
      <c r="AX535" s="735">
        <f t="shared" si="48"/>
        <v>700000.00000000012</v>
      </c>
      <c r="AY535" s="736">
        <f t="shared" si="49"/>
        <v>0</v>
      </c>
      <c r="AZ535" s="20"/>
      <c r="BA535" s="20"/>
      <c r="BB535" s="20"/>
      <c r="BC535" s="17"/>
      <c r="BD535" s="17"/>
      <c r="BE535" s="17"/>
      <c r="BF535" s="17"/>
      <c r="BG535" s="17"/>
      <c r="BH535" s="17"/>
      <c r="BI535" s="17"/>
      <c r="BJ535" s="17"/>
      <c r="CL535" s="5"/>
      <c r="CM535" s="5"/>
    </row>
    <row r="536" spans="1:96" ht="14.25" customHeight="1">
      <c r="A536" s="136"/>
      <c r="B536" s="569"/>
      <c r="C536" s="526"/>
      <c r="D536" s="572"/>
      <c r="E536" s="909"/>
      <c r="F536" s="909"/>
      <c r="G536" s="910"/>
      <c r="H536" s="910"/>
      <c r="I536" s="910"/>
      <c r="J536" s="911"/>
      <c r="K536" s="912"/>
      <c r="L536" s="912"/>
      <c r="M536" s="906"/>
      <c r="N536" s="906"/>
      <c r="O536" s="907"/>
      <c r="P536" s="907"/>
      <c r="Q536" s="908"/>
      <c r="S536" s="264"/>
      <c r="T536" s="264"/>
      <c r="U536" s="264"/>
      <c r="V536" s="264"/>
      <c r="X536" s="264"/>
      <c r="Y536" s="264"/>
      <c r="Z536" s="264"/>
      <c r="AD536" s="41">
        <f t="shared" si="51"/>
        <v>9</v>
      </c>
      <c r="AE536" s="341" t="str">
        <f t="shared" si="41"/>
        <v>~</v>
      </c>
      <c r="AF536" s="551">
        <f t="shared" si="41"/>
        <v>10</v>
      </c>
      <c r="AG536" s="1426">
        <f t="shared" si="52"/>
        <v>1</v>
      </c>
      <c r="AH536" s="1426"/>
      <c r="AI536" s="591">
        <f t="shared" si="42"/>
        <v>700000.00000000012</v>
      </c>
      <c r="AJ536" s="604">
        <f t="shared" si="43"/>
        <v>-3.4972949214685856E-2</v>
      </c>
      <c r="AK536" s="734">
        <f t="shared" si="44"/>
        <v>-0.93991164293680185</v>
      </c>
      <c r="AL536" s="1409">
        <f t="shared" si="45"/>
        <v>0</v>
      </c>
      <c r="AM536" s="1410"/>
      <c r="AN536" s="1424">
        <f t="shared" si="46"/>
        <v>0</v>
      </c>
      <c r="AO536" s="1425"/>
      <c r="AP536" s="558" t="str">
        <f t="shared" si="47"/>
        <v/>
      </c>
      <c r="AQ536" s="556">
        <f>SUM($AG$527:AG535)+(AG536/2)</f>
        <v>7.74</v>
      </c>
      <c r="AR536" s="29"/>
      <c r="AS536" s="871">
        <v>10</v>
      </c>
      <c r="AT536" s="871"/>
      <c r="AU536" s="863">
        <f t="shared" si="34"/>
        <v>500.00000000000006</v>
      </c>
      <c r="AV536" s="864"/>
      <c r="AX536" s="735">
        <f t="shared" si="48"/>
        <v>0</v>
      </c>
      <c r="AY536" s="736">
        <f t="shared" si="49"/>
        <v>0</v>
      </c>
      <c r="AZ536" s="20"/>
      <c r="BA536" s="20"/>
      <c r="BB536" s="20"/>
      <c r="BC536" s="17"/>
      <c r="BD536" s="17"/>
      <c r="BE536" s="17"/>
      <c r="BF536" s="17"/>
      <c r="BG536" s="17"/>
      <c r="BH536" s="17"/>
      <c r="BI536" s="17"/>
      <c r="BJ536" s="17"/>
      <c r="CK536" s="5"/>
      <c r="CL536" s="5"/>
      <c r="CM536" s="5"/>
    </row>
    <row r="537" spans="1:96" ht="14.25" customHeight="1">
      <c r="A537" s="136"/>
      <c r="B537" s="569"/>
      <c r="C537" s="526"/>
      <c r="D537" s="572"/>
      <c r="E537" s="909"/>
      <c r="F537" s="909"/>
      <c r="G537" s="910"/>
      <c r="H537" s="910"/>
      <c r="I537" s="910"/>
      <c r="J537" s="911"/>
      <c r="K537" s="912"/>
      <c r="L537" s="912"/>
      <c r="M537" s="906"/>
      <c r="N537" s="906"/>
      <c r="O537" s="907"/>
      <c r="P537" s="907"/>
      <c r="Q537" s="908"/>
      <c r="S537" s="264"/>
      <c r="T537" s="264"/>
      <c r="U537" s="264"/>
      <c r="V537" s="264"/>
      <c r="X537" s="264"/>
      <c r="Y537" s="264"/>
      <c r="Z537" s="264"/>
      <c r="AD537" s="41">
        <f t="shared" si="51"/>
        <v>10</v>
      </c>
      <c r="AE537" s="341" t="str">
        <f t="shared" si="41"/>
        <v>~</v>
      </c>
      <c r="AF537" s="551">
        <f t="shared" si="41"/>
        <v>11</v>
      </c>
      <c r="AG537" s="1426">
        <f t="shared" si="52"/>
        <v>1</v>
      </c>
      <c r="AH537" s="1426"/>
      <c r="AI537" s="591">
        <f t="shared" si="42"/>
        <v>1050000</v>
      </c>
      <c r="AJ537" s="604">
        <f t="shared" si="43"/>
        <v>-0.13783456455199716</v>
      </c>
      <c r="AK537" s="734">
        <f t="shared" si="44"/>
        <v>-1.1665668755252105</v>
      </c>
      <c r="AL537" s="1409">
        <f t="shared" si="45"/>
        <v>0</v>
      </c>
      <c r="AM537" s="1410"/>
      <c r="AN537" s="1424">
        <f t="shared" si="46"/>
        <v>0</v>
      </c>
      <c r="AO537" s="1425"/>
      <c r="AP537" s="558" t="str">
        <f t="shared" si="47"/>
        <v/>
      </c>
      <c r="AQ537" s="556">
        <f>SUM($AG$527:AG536)+(AG537/2)</f>
        <v>8.74</v>
      </c>
      <c r="AR537" s="44"/>
      <c r="AS537" s="871">
        <v>11</v>
      </c>
      <c r="AT537" s="871"/>
      <c r="AU537" s="863">
        <f t="shared" si="34"/>
        <v>750</v>
      </c>
      <c r="AV537" s="864"/>
      <c r="AX537" s="735">
        <f t="shared" si="48"/>
        <v>0</v>
      </c>
      <c r="AY537" s="736">
        <f t="shared" si="49"/>
        <v>0</v>
      </c>
      <c r="AZ537" s="20"/>
      <c r="BA537" s="20"/>
      <c r="BB537" s="20"/>
      <c r="BC537" s="17"/>
      <c r="BD537" s="17"/>
      <c r="BE537" s="17"/>
      <c r="BF537" s="17"/>
      <c r="BG537" s="17"/>
      <c r="BH537" s="17"/>
      <c r="BI537" s="17"/>
      <c r="BJ537" s="17"/>
      <c r="CK537" s="5"/>
      <c r="CL537" s="5"/>
      <c r="CM537" s="5"/>
      <c r="CN537" s="5"/>
    </row>
    <row r="538" spans="1:96" ht="14.25" customHeight="1">
      <c r="A538" s="136"/>
      <c r="B538" s="569"/>
      <c r="C538" s="526"/>
      <c r="D538" s="572"/>
      <c r="E538" s="909"/>
      <c r="F538" s="909"/>
      <c r="G538" s="910"/>
      <c r="H538" s="910"/>
      <c r="I538" s="910"/>
      <c r="J538" s="911"/>
      <c r="K538" s="912"/>
      <c r="L538" s="912"/>
      <c r="M538" s="906"/>
      <c r="N538" s="906"/>
      <c r="O538" s="907"/>
      <c r="P538" s="907"/>
      <c r="Q538" s="908"/>
      <c r="S538" s="264"/>
      <c r="T538" s="264"/>
      <c r="U538" s="264"/>
      <c r="V538" s="264"/>
      <c r="X538" s="264"/>
      <c r="Y538" s="264"/>
      <c r="Z538" s="264"/>
      <c r="AD538" s="41">
        <f t="shared" si="51"/>
        <v>11</v>
      </c>
      <c r="AE538" s="341" t="str">
        <f t="shared" si="41"/>
        <v>~</v>
      </c>
      <c r="AF538" s="551">
        <f t="shared" si="41"/>
        <v>12</v>
      </c>
      <c r="AG538" s="1426">
        <f t="shared" si="52"/>
        <v>1</v>
      </c>
      <c r="AH538" s="1426"/>
      <c r="AI538" s="591">
        <f t="shared" si="42"/>
        <v>1050000</v>
      </c>
      <c r="AJ538" s="604">
        <f t="shared" si="43"/>
        <v>-0.24069617988930858</v>
      </c>
      <c r="AK538" s="734">
        <f t="shared" si="44"/>
        <v>-1.3932221081136191</v>
      </c>
      <c r="AL538" s="1409">
        <f t="shared" si="45"/>
        <v>0</v>
      </c>
      <c r="AM538" s="1410"/>
      <c r="AN538" s="1424">
        <f t="shared" si="46"/>
        <v>0</v>
      </c>
      <c r="AO538" s="1425"/>
      <c r="AP538" s="558" t="str">
        <f t="shared" si="47"/>
        <v/>
      </c>
      <c r="AQ538" s="556">
        <f>SUM($AG$527:AG537)+(AG538/2)</f>
        <v>9.74</v>
      </c>
      <c r="AR538" s="52"/>
      <c r="AS538" s="871">
        <v>12</v>
      </c>
      <c r="AT538" s="871"/>
      <c r="AU538" s="863">
        <f t="shared" si="34"/>
        <v>750</v>
      </c>
      <c r="AV538" s="864"/>
      <c r="AX538" s="735">
        <f t="shared" si="48"/>
        <v>0</v>
      </c>
      <c r="AY538" s="736">
        <f t="shared" si="49"/>
        <v>0</v>
      </c>
      <c r="AZ538" s="20"/>
      <c r="BA538" s="20"/>
      <c r="BB538" s="20"/>
      <c r="BC538" s="17"/>
      <c r="BD538" s="17"/>
      <c r="BE538" s="17"/>
      <c r="BF538" s="17"/>
      <c r="BG538" s="17"/>
      <c r="BH538" s="17"/>
      <c r="BI538" s="17"/>
      <c r="BJ538" s="17"/>
      <c r="CK538" s="5"/>
      <c r="CL538" s="5"/>
      <c r="CM538" s="5"/>
      <c r="CN538" s="5"/>
    </row>
    <row r="539" spans="1:96" ht="14.25" customHeight="1">
      <c r="A539" s="136"/>
      <c r="B539" s="569"/>
      <c r="C539" s="526"/>
      <c r="D539" s="572"/>
      <c r="E539" s="909"/>
      <c r="F539" s="909"/>
      <c r="G539" s="910"/>
      <c r="H539" s="910"/>
      <c r="I539" s="910"/>
      <c r="J539" s="911"/>
      <c r="K539" s="912"/>
      <c r="L539" s="912"/>
      <c r="M539" s="906"/>
      <c r="N539" s="906"/>
      <c r="O539" s="907"/>
      <c r="P539" s="907"/>
      <c r="Q539" s="908"/>
      <c r="S539" s="264"/>
      <c r="T539" s="264"/>
      <c r="U539" s="264"/>
      <c r="V539" s="264"/>
      <c r="X539" s="264"/>
      <c r="Y539" s="264"/>
      <c r="Z539" s="264"/>
      <c r="AD539" s="41">
        <f t="shared" si="51"/>
        <v>12</v>
      </c>
      <c r="AE539" s="341" t="str">
        <f t="shared" si="41"/>
        <v>~</v>
      </c>
      <c r="AF539" s="551">
        <f t="shared" si="41"/>
        <v>13</v>
      </c>
      <c r="AG539" s="1426">
        <f t="shared" si="52"/>
        <v>1</v>
      </c>
      <c r="AH539" s="1426"/>
      <c r="AI539" s="591">
        <f t="shared" si="42"/>
        <v>1050000</v>
      </c>
      <c r="AJ539" s="604">
        <f t="shared" si="43"/>
        <v>-0.34355779522662</v>
      </c>
      <c r="AK539" s="734">
        <f t="shared" si="44"/>
        <v>-1.6198773407020282</v>
      </c>
      <c r="AL539" s="1409">
        <f t="shared" si="45"/>
        <v>0</v>
      </c>
      <c r="AM539" s="1410"/>
      <c r="AN539" s="1424">
        <f t="shared" si="46"/>
        <v>0</v>
      </c>
      <c r="AO539" s="1425"/>
      <c r="AP539" s="558" t="str">
        <f t="shared" si="47"/>
        <v/>
      </c>
      <c r="AQ539" s="556">
        <f>SUM($AG$527:AG538)+(AG539/2)</f>
        <v>10.74</v>
      </c>
      <c r="AR539" s="57"/>
      <c r="AS539" s="871">
        <v>13</v>
      </c>
      <c r="AT539" s="871"/>
      <c r="AU539" s="863">
        <f t="shared" si="34"/>
        <v>750</v>
      </c>
      <c r="AV539" s="864"/>
      <c r="AX539" s="735">
        <f t="shared" si="48"/>
        <v>0</v>
      </c>
      <c r="AY539" s="736">
        <f t="shared" si="49"/>
        <v>0</v>
      </c>
      <c r="AZ539" s="20"/>
      <c r="BA539" s="20"/>
      <c r="BB539" s="20"/>
      <c r="BC539" s="352"/>
      <c r="BD539" s="352"/>
      <c r="BE539" s="352"/>
      <c r="BF539" s="352"/>
      <c r="BG539" s="352"/>
      <c r="BH539" s="17"/>
      <c r="BI539" s="17"/>
      <c r="BJ539" s="17"/>
      <c r="CK539" s="5"/>
      <c r="CL539" s="5"/>
      <c r="CM539" s="5"/>
      <c r="CN539" s="5"/>
      <c r="CO539" s="5"/>
    </row>
    <row r="540" spans="1:96" s="5" customFormat="1" ht="14.25" customHeight="1">
      <c r="A540" s="136"/>
      <c r="B540" s="569"/>
      <c r="C540" s="526"/>
      <c r="D540" s="572"/>
      <c r="E540" s="909"/>
      <c r="F540" s="909"/>
      <c r="G540" s="910"/>
      <c r="H540" s="910"/>
      <c r="I540" s="910"/>
      <c r="J540" s="911"/>
      <c r="K540" s="912"/>
      <c r="L540" s="912"/>
      <c r="M540" s="906"/>
      <c r="N540" s="906"/>
      <c r="O540" s="907"/>
      <c r="P540" s="907"/>
      <c r="Q540" s="908"/>
      <c r="R540" s="3"/>
      <c r="S540" s="264"/>
      <c r="T540" s="264"/>
      <c r="U540" s="264"/>
      <c r="V540" s="264"/>
      <c r="W540" s="3"/>
      <c r="X540" s="264"/>
      <c r="Y540" s="264"/>
      <c r="Z540" s="264"/>
      <c r="AA540" s="3"/>
      <c r="AB540" s="3"/>
      <c r="AC540" s="3"/>
      <c r="AD540" s="41">
        <f t="shared" si="51"/>
        <v>13</v>
      </c>
      <c r="AE540" s="341" t="str">
        <f t="shared" si="41"/>
        <v>~</v>
      </c>
      <c r="AF540" s="551">
        <f t="shared" si="41"/>
        <v>14</v>
      </c>
      <c r="AG540" s="1426">
        <f t="shared" si="52"/>
        <v>1</v>
      </c>
      <c r="AH540" s="1426"/>
      <c r="AI540" s="591">
        <f t="shared" si="42"/>
        <v>1050000</v>
      </c>
      <c r="AJ540" s="604">
        <f t="shared" si="43"/>
        <v>-0.4464194105639312</v>
      </c>
      <c r="AK540" s="734">
        <f t="shared" si="44"/>
        <v>-1.8465325732904367</v>
      </c>
      <c r="AL540" s="1409">
        <f t="shared" si="45"/>
        <v>0</v>
      </c>
      <c r="AM540" s="1410"/>
      <c r="AN540" s="1424">
        <f t="shared" si="46"/>
        <v>0</v>
      </c>
      <c r="AO540" s="1425"/>
      <c r="AP540" s="558" t="str">
        <f t="shared" si="47"/>
        <v/>
      </c>
      <c r="AQ540" s="556">
        <f>SUM($AG$527:AG539)+(AG540/2)</f>
        <v>11.74</v>
      </c>
      <c r="AR540" s="57"/>
      <c r="AS540" s="871">
        <v>14</v>
      </c>
      <c r="AT540" s="871"/>
      <c r="AU540" s="863">
        <f t="shared" si="34"/>
        <v>750</v>
      </c>
      <c r="AV540" s="864"/>
      <c r="AW540" s="3"/>
      <c r="AX540" s="735">
        <f t="shared" si="48"/>
        <v>0</v>
      </c>
      <c r="AY540" s="736">
        <f t="shared" si="49"/>
        <v>0</v>
      </c>
      <c r="AZ540" s="20"/>
      <c r="BA540" s="20"/>
      <c r="BB540" s="20"/>
      <c r="BC540" s="17"/>
      <c r="BD540" s="17"/>
      <c r="BE540" s="17"/>
      <c r="BF540" s="17"/>
      <c r="BG540" s="17"/>
      <c r="BH540" s="17"/>
      <c r="BI540" s="17"/>
      <c r="BJ540" s="17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J540" s="3"/>
      <c r="CQ540" s="3"/>
      <c r="CR540" s="3"/>
    </row>
    <row r="541" spans="1:96" s="5" customFormat="1" ht="14.25" customHeight="1">
      <c r="A541" s="136"/>
      <c r="B541" s="569"/>
      <c r="C541" s="526"/>
      <c r="D541" s="572"/>
      <c r="E541" s="909"/>
      <c r="F541" s="909"/>
      <c r="G541" s="910"/>
      <c r="H541" s="910"/>
      <c r="I541" s="910"/>
      <c r="J541" s="911"/>
      <c r="K541" s="912"/>
      <c r="L541" s="912"/>
      <c r="M541" s="906"/>
      <c r="N541" s="906"/>
      <c r="O541" s="907"/>
      <c r="P541" s="907"/>
      <c r="Q541" s="908"/>
      <c r="R541" s="3"/>
      <c r="S541" s="264"/>
      <c r="T541" s="264"/>
      <c r="U541" s="264"/>
      <c r="V541" s="264"/>
      <c r="W541" s="3"/>
      <c r="X541" s="264"/>
      <c r="Y541" s="264"/>
      <c r="Z541" s="264"/>
      <c r="AA541" s="3"/>
      <c r="AB541" s="3"/>
      <c r="AC541" s="3"/>
      <c r="AD541" s="41">
        <f t="shared" si="51"/>
        <v>14</v>
      </c>
      <c r="AE541" s="341" t="str">
        <f t="shared" si="41"/>
        <v>~</v>
      </c>
      <c r="AF541" s="551">
        <f t="shared" si="41"/>
        <v>15</v>
      </c>
      <c r="AG541" s="1426">
        <f t="shared" si="52"/>
        <v>1</v>
      </c>
      <c r="AH541" s="1426"/>
      <c r="AI541" s="591">
        <f t="shared" si="42"/>
        <v>1050000</v>
      </c>
      <c r="AJ541" s="604">
        <f t="shared" si="43"/>
        <v>-0.54928102590124261</v>
      </c>
      <c r="AK541" s="734">
        <f t="shared" si="44"/>
        <v>-2.0731878058788458</v>
      </c>
      <c r="AL541" s="1409">
        <f t="shared" si="45"/>
        <v>0</v>
      </c>
      <c r="AM541" s="1410"/>
      <c r="AN541" s="1424">
        <f t="shared" si="46"/>
        <v>0</v>
      </c>
      <c r="AO541" s="1425"/>
      <c r="AP541" s="558" t="str">
        <f t="shared" si="47"/>
        <v/>
      </c>
      <c r="AQ541" s="556">
        <f>SUM($AG$527:AG540)+(AG541/2)</f>
        <v>12.74</v>
      </c>
      <c r="AR541" s="57"/>
      <c r="AS541" s="871">
        <v>15</v>
      </c>
      <c r="AT541" s="871"/>
      <c r="AU541" s="863">
        <f t="shared" si="34"/>
        <v>750</v>
      </c>
      <c r="AV541" s="864"/>
      <c r="AW541" s="3"/>
      <c r="AX541" s="735">
        <f t="shared" si="48"/>
        <v>0</v>
      </c>
      <c r="AY541" s="736">
        <f t="shared" si="49"/>
        <v>0</v>
      </c>
      <c r="AZ541" s="20"/>
      <c r="BA541" s="20"/>
      <c r="BB541" s="20"/>
      <c r="BC541" s="17"/>
      <c r="BD541" s="17"/>
      <c r="BE541" s="17"/>
      <c r="BF541" s="17"/>
      <c r="BG541" s="17"/>
      <c r="BH541" s="17"/>
      <c r="BI541" s="17"/>
      <c r="BJ541" s="17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D541" s="3"/>
      <c r="CE541" s="3"/>
      <c r="CF541" s="3"/>
      <c r="CG541" s="3"/>
      <c r="CJ541" s="3"/>
    </row>
    <row r="542" spans="1:96" s="5" customFormat="1" ht="14.25" customHeight="1">
      <c r="A542" s="136"/>
      <c r="B542" s="569"/>
      <c r="C542" s="526"/>
      <c r="D542" s="572"/>
      <c r="E542" s="909"/>
      <c r="F542" s="909"/>
      <c r="G542" s="910"/>
      <c r="H542" s="910"/>
      <c r="I542" s="910"/>
      <c r="J542" s="911"/>
      <c r="K542" s="912"/>
      <c r="L542" s="912"/>
      <c r="M542" s="906"/>
      <c r="N542" s="906"/>
      <c r="O542" s="907"/>
      <c r="P542" s="907"/>
      <c r="Q542" s="908"/>
      <c r="R542" s="3"/>
      <c r="S542" s="264"/>
      <c r="T542" s="264"/>
      <c r="U542" s="264"/>
      <c r="V542" s="264"/>
      <c r="W542" s="3"/>
      <c r="X542" s="264"/>
      <c r="Y542" s="264"/>
      <c r="Z542" s="264"/>
      <c r="AA542" s="3"/>
      <c r="AB542" s="3"/>
      <c r="AC542" s="3"/>
      <c r="AD542" s="41">
        <f t="shared" si="51"/>
        <v>15</v>
      </c>
      <c r="AE542" s="341" t="str">
        <f t="shared" si="41"/>
        <v>~</v>
      </c>
      <c r="AF542" s="551">
        <f t="shared" si="41"/>
        <v>16</v>
      </c>
      <c r="AG542" s="1426">
        <f t="shared" si="52"/>
        <v>1</v>
      </c>
      <c r="AH542" s="1426"/>
      <c r="AI542" s="591">
        <f t="shared" si="42"/>
        <v>1050000</v>
      </c>
      <c r="AJ542" s="604">
        <f t="shared" si="43"/>
        <v>-0.65214264123855403</v>
      </c>
      <c r="AK542" s="734">
        <f t="shared" si="44"/>
        <v>-2.2998430384672544</v>
      </c>
      <c r="AL542" s="1409">
        <f t="shared" si="45"/>
        <v>0</v>
      </c>
      <c r="AM542" s="1410"/>
      <c r="AN542" s="1424">
        <f t="shared" si="46"/>
        <v>0</v>
      </c>
      <c r="AO542" s="1425"/>
      <c r="AP542" s="558" t="str">
        <f t="shared" si="47"/>
        <v/>
      </c>
      <c r="AQ542" s="556">
        <f>SUM($AG$527:AG541)+(AG542/2)</f>
        <v>13.74</v>
      </c>
      <c r="AR542" s="57"/>
      <c r="AS542" s="871">
        <v>16</v>
      </c>
      <c r="AT542" s="871"/>
      <c r="AU542" s="863">
        <f t="shared" si="34"/>
        <v>750</v>
      </c>
      <c r="AV542" s="864"/>
      <c r="AW542" s="3"/>
      <c r="AX542" s="735">
        <f t="shared" si="48"/>
        <v>0</v>
      </c>
      <c r="AY542" s="736">
        <f t="shared" si="49"/>
        <v>0</v>
      </c>
      <c r="AZ542" s="20"/>
      <c r="BA542" s="20"/>
      <c r="BB542" s="20"/>
      <c r="BC542" s="17"/>
      <c r="BD542" s="17"/>
      <c r="BE542" s="17"/>
      <c r="BF542" s="17"/>
      <c r="BG542" s="17"/>
      <c r="BH542" s="17"/>
      <c r="BI542" s="17"/>
      <c r="BJ542" s="17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D542" s="3"/>
      <c r="CE542" s="3"/>
      <c r="CF542" s="3"/>
      <c r="CG542" s="3"/>
      <c r="CJ542" s="3"/>
    </row>
    <row r="543" spans="1:96" s="5" customFormat="1" ht="14.25" customHeight="1">
      <c r="A543" s="136"/>
      <c r="B543" s="569"/>
      <c r="C543" s="526"/>
      <c r="D543" s="572"/>
      <c r="E543" s="909"/>
      <c r="F543" s="909"/>
      <c r="G543" s="910"/>
      <c r="H543" s="910"/>
      <c r="I543" s="910"/>
      <c r="J543" s="911"/>
      <c r="K543" s="912"/>
      <c r="L543" s="912"/>
      <c r="M543" s="906"/>
      <c r="N543" s="906"/>
      <c r="O543" s="907"/>
      <c r="P543" s="907"/>
      <c r="Q543" s="908"/>
      <c r="R543" s="3"/>
      <c r="S543" s="264"/>
      <c r="T543" s="264"/>
      <c r="U543" s="264"/>
      <c r="V543" s="264"/>
      <c r="W543" s="3"/>
      <c r="X543" s="264"/>
      <c r="Y543" s="264"/>
      <c r="Z543" s="264"/>
      <c r="AA543" s="3"/>
      <c r="AB543" s="3"/>
      <c r="AC543" s="3"/>
      <c r="AD543" s="41">
        <f t="shared" si="51"/>
        <v>16</v>
      </c>
      <c r="AE543" s="341" t="str">
        <f t="shared" ref="AE543:AF556" si="53">+AE474</f>
        <v>~</v>
      </c>
      <c r="AF543" s="551">
        <f t="shared" si="53"/>
        <v>17</v>
      </c>
      <c r="AG543" s="1426">
        <f t="shared" si="52"/>
        <v>1</v>
      </c>
      <c r="AH543" s="1426"/>
      <c r="AI543" s="591">
        <f t="shared" si="42"/>
        <v>1050000</v>
      </c>
      <c r="AJ543" s="604">
        <f t="shared" si="43"/>
        <v>-0.75500425657586523</v>
      </c>
      <c r="AK543" s="734">
        <f t="shared" si="44"/>
        <v>-2.5264982710556634</v>
      </c>
      <c r="AL543" s="1409">
        <f t="shared" si="45"/>
        <v>0</v>
      </c>
      <c r="AM543" s="1410"/>
      <c r="AN543" s="1424">
        <f t="shared" si="46"/>
        <v>0</v>
      </c>
      <c r="AO543" s="1425"/>
      <c r="AP543" s="558" t="str">
        <f t="shared" si="47"/>
        <v/>
      </c>
      <c r="AQ543" s="556">
        <f>SUM($AG$527:AG542)+(AG543/2)</f>
        <v>14.74</v>
      </c>
      <c r="AR543" s="57"/>
      <c r="AS543" s="871">
        <v>17</v>
      </c>
      <c r="AT543" s="871"/>
      <c r="AU543" s="863">
        <f t="shared" si="34"/>
        <v>750</v>
      </c>
      <c r="AV543" s="864"/>
      <c r="AW543" s="3"/>
      <c r="AX543" s="735">
        <f t="shared" si="48"/>
        <v>0</v>
      </c>
      <c r="AY543" s="736">
        <f t="shared" si="49"/>
        <v>0</v>
      </c>
      <c r="AZ543" s="20"/>
      <c r="BA543" s="20"/>
      <c r="BB543" s="20"/>
      <c r="BC543" s="17"/>
      <c r="BD543" s="17"/>
      <c r="BE543" s="17"/>
      <c r="BF543" s="17"/>
      <c r="BG543" s="17"/>
      <c r="BH543" s="17"/>
      <c r="BI543" s="17"/>
      <c r="BJ543" s="17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CD543" s="3"/>
      <c r="CE543" s="3"/>
      <c r="CF543" s="3"/>
      <c r="CG543" s="3"/>
      <c r="CJ543" s="3"/>
    </row>
    <row r="544" spans="1:96" s="5" customFormat="1" ht="14.25" customHeight="1">
      <c r="A544" s="136"/>
      <c r="B544" s="569"/>
      <c r="C544" s="526"/>
      <c r="D544" s="572"/>
      <c r="E544" s="909"/>
      <c r="F544" s="909"/>
      <c r="G544" s="910"/>
      <c r="H544" s="910"/>
      <c r="I544" s="910"/>
      <c r="J544" s="911"/>
      <c r="K544" s="912"/>
      <c r="L544" s="912"/>
      <c r="M544" s="906"/>
      <c r="N544" s="906"/>
      <c r="O544" s="907"/>
      <c r="P544" s="907"/>
      <c r="Q544" s="908"/>
      <c r="R544" s="3"/>
      <c r="S544" s="264"/>
      <c r="T544" s="264"/>
      <c r="U544" s="264"/>
      <c r="V544" s="264"/>
      <c r="W544" s="3"/>
      <c r="X544" s="264"/>
      <c r="Y544" s="264"/>
      <c r="Z544" s="264"/>
      <c r="AA544" s="3"/>
      <c r="AB544" s="3"/>
      <c r="AC544" s="3"/>
      <c r="AD544" s="41">
        <f t="shared" si="51"/>
        <v>17</v>
      </c>
      <c r="AE544" s="341" t="str">
        <f t="shared" si="53"/>
        <v>~</v>
      </c>
      <c r="AF544" s="551">
        <f t="shared" si="53"/>
        <v>18</v>
      </c>
      <c r="AG544" s="1426">
        <f t="shared" si="52"/>
        <v>1</v>
      </c>
      <c r="AH544" s="1426"/>
      <c r="AI544" s="591">
        <f t="shared" si="42"/>
        <v>1050000</v>
      </c>
      <c r="AJ544" s="604">
        <f t="shared" si="43"/>
        <v>-0.85786587191317665</v>
      </c>
      <c r="AK544" s="734">
        <f t="shared" si="44"/>
        <v>-2.753153503644072</v>
      </c>
      <c r="AL544" s="1409">
        <f t="shared" si="45"/>
        <v>0</v>
      </c>
      <c r="AM544" s="1410"/>
      <c r="AN544" s="1424">
        <f t="shared" si="46"/>
        <v>0</v>
      </c>
      <c r="AO544" s="1425"/>
      <c r="AP544" s="558" t="str">
        <f t="shared" si="47"/>
        <v/>
      </c>
      <c r="AQ544" s="556">
        <f>SUM($AG$527:AG543)+(AG544/2)</f>
        <v>15.74</v>
      </c>
      <c r="AR544" s="57"/>
      <c r="AS544" s="871">
        <v>18</v>
      </c>
      <c r="AT544" s="871"/>
      <c r="AU544" s="863">
        <f t="shared" si="34"/>
        <v>750</v>
      </c>
      <c r="AV544" s="864"/>
      <c r="AW544" s="3"/>
      <c r="AX544" s="735">
        <f t="shared" si="48"/>
        <v>0</v>
      </c>
      <c r="AY544" s="736">
        <f t="shared" si="49"/>
        <v>0</v>
      </c>
      <c r="AZ544" s="20"/>
      <c r="BA544" s="20"/>
      <c r="BB544" s="20"/>
      <c r="BC544" s="17"/>
      <c r="BD544" s="17"/>
      <c r="BE544" s="17"/>
      <c r="BF544" s="17"/>
      <c r="BG544" s="17"/>
      <c r="BH544" s="17"/>
      <c r="BI544" s="17"/>
      <c r="BJ544" s="17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CD544" s="3"/>
      <c r="CE544" s="3"/>
      <c r="CF544" s="3"/>
      <c r="CG544" s="3"/>
      <c r="CJ544" s="3"/>
    </row>
    <row r="545" spans="1:96" s="5" customFormat="1" ht="14.25" customHeight="1">
      <c r="A545" s="136"/>
      <c r="B545" s="569"/>
      <c r="C545" s="526"/>
      <c r="D545" s="572"/>
      <c r="E545" s="909"/>
      <c r="F545" s="909"/>
      <c r="G545" s="910"/>
      <c r="H545" s="910"/>
      <c r="I545" s="910"/>
      <c r="J545" s="911"/>
      <c r="K545" s="912"/>
      <c r="L545" s="912"/>
      <c r="M545" s="906"/>
      <c r="N545" s="906"/>
      <c r="O545" s="907"/>
      <c r="P545" s="907"/>
      <c r="Q545" s="908"/>
      <c r="R545" s="3"/>
      <c r="S545" s="264"/>
      <c r="T545" s="264"/>
      <c r="U545" s="264"/>
      <c r="V545" s="264"/>
      <c r="W545" s="3"/>
      <c r="X545" s="264"/>
      <c r="Y545" s="264"/>
      <c r="Z545" s="264"/>
      <c r="AA545" s="3"/>
      <c r="AB545" s="3"/>
      <c r="AC545" s="3"/>
      <c r="AD545" s="41">
        <f t="shared" si="51"/>
        <v>18</v>
      </c>
      <c r="AE545" s="341" t="str">
        <f t="shared" si="53"/>
        <v>~</v>
      </c>
      <c r="AF545" s="551">
        <f t="shared" si="53"/>
        <v>19</v>
      </c>
      <c r="AG545" s="1426">
        <f t="shared" si="52"/>
        <v>1</v>
      </c>
      <c r="AH545" s="1426"/>
      <c r="AI545" s="591">
        <f t="shared" si="42"/>
        <v>1050000</v>
      </c>
      <c r="AJ545" s="604">
        <f t="shared" si="43"/>
        <v>-0.96072748725048829</v>
      </c>
      <c r="AK545" s="734">
        <f t="shared" si="44"/>
        <v>-2.979808736232481</v>
      </c>
      <c r="AL545" s="1409">
        <f t="shared" si="45"/>
        <v>0</v>
      </c>
      <c r="AM545" s="1410"/>
      <c r="AN545" s="1424">
        <f t="shared" si="46"/>
        <v>0</v>
      </c>
      <c r="AO545" s="1425"/>
      <c r="AP545" s="558" t="str">
        <f t="shared" si="47"/>
        <v/>
      </c>
      <c r="AQ545" s="556">
        <f>SUM($AG$527:AG544)+(AG545/2)</f>
        <v>16.740000000000002</v>
      </c>
      <c r="AR545" s="57"/>
      <c r="AS545" s="871">
        <v>19</v>
      </c>
      <c r="AT545" s="871"/>
      <c r="AU545" s="863">
        <f t="shared" si="34"/>
        <v>750</v>
      </c>
      <c r="AV545" s="864"/>
      <c r="AW545" s="3"/>
      <c r="AX545" s="735">
        <f t="shared" si="48"/>
        <v>0</v>
      </c>
      <c r="AY545" s="736">
        <f t="shared" si="49"/>
        <v>0</v>
      </c>
      <c r="AZ545" s="3"/>
      <c r="BA545" s="3"/>
      <c r="BB545" s="3"/>
      <c r="BC545" s="3"/>
      <c r="BD545" s="3"/>
      <c r="BE545" s="3"/>
      <c r="BF545" s="3"/>
      <c r="BG545" s="3"/>
      <c r="BH545" s="15"/>
      <c r="BI545" s="15"/>
      <c r="BJ545" s="15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CD545" s="3"/>
      <c r="CE545" s="3"/>
      <c r="CF545" s="3"/>
      <c r="CG545" s="3"/>
      <c r="CH545" s="3"/>
      <c r="CJ545" s="3"/>
    </row>
    <row r="546" spans="1:96" s="5" customFormat="1" ht="14.25" customHeight="1">
      <c r="A546" s="136"/>
      <c r="B546" s="569"/>
      <c r="C546" s="526"/>
      <c r="D546" s="572"/>
      <c r="E546" s="909"/>
      <c r="F546" s="909"/>
      <c r="G546" s="910"/>
      <c r="H546" s="910"/>
      <c r="I546" s="910"/>
      <c r="J546" s="911"/>
      <c r="K546" s="912"/>
      <c r="L546" s="912"/>
      <c r="M546" s="906"/>
      <c r="N546" s="906"/>
      <c r="O546" s="907"/>
      <c r="P546" s="907"/>
      <c r="Q546" s="908"/>
      <c r="R546" s="3"/>
      <c r="S546" s="264"/>
      <c r="T546" s="264"/>
      <c r="U546" s="264"/>
      <c r="V546" s="264"/>
      <c r="W546" s="3"/>
      <c r="X546" s="264"/>
      <c r="Y546" s="264"/>
      <c r="Z546" s="264"/>
      <c r="AA546" s="3"/>
      <c r="AB546" s="3"/>
      <c r="AC546" s="3"/>
      <c r="AD546" s="41">
        <f t="shared" si="51"/>
        <v>19</v>
      </c>
      <c r="AE546" s="341" t="str">
        <f t="shared" si="53"/>
        <v>~</v>
      </c>
      <c r="AF546" s="551">
        <f t="shared" si="53"/>
        <v>20</v>
      </c>
      <c r="AG546" s="1426">
        <f t="shared" si="52"/>
        <v>1</v>
      </c>
      <c r="AH546" s="1426"/>
      <c r="AI546" s="591">
        <f t="shared" si="42"/>
        <v>1050000</v>
      </c>
      <c r="AJ546" s="604">
        <f t="shared" si="43"/>
        <v>-1.0635891025877995</v>
      </c>
      <c r="AK546" s="734">
        <f t="shared" si="44"/>
        <v>-3.20646396882089</v>
      </c>
      <c r="AL546" s="1409">
        <f t="shared" si="45"/>
        <v>0</v>
      </c>
      <c r="AM546" s="1410"/>
      <c r="AN546" s="1424">
        <f t="shared" si="46"/>
        <v>0</v>
      </c>
      <c r="AO546" s="1425"/>
      <c r="AP546" s="558" t="str">
        <f t="shared" si="47"/>
        <v/>
      </c>
      <c r="AQ546" s="556">
        <f>SUM($AG$527:AG545)+(AG546/2)</f>
        <v>17.740000000000002</v>
      </c>
      <c r="AR546" s="57"/>
      <c r="AS546" s="871">
        <v>20</v>
      </c>
      <c r="AT546" s="871"/>
      <c r="AU546" s="863">
        <f t="shared" si="34"/>
        <v>750</v>
      </c>
      <c r="AV546" s="864"/>
      <c r="AW546" s="3"/>
      <c r="AX546" s="735">
        <f t="shared" si="48"/>
        <v>0</v>
      </c>
      <c r="AY546" s="736">
        <f t="shared" si="49"/>
        <v>0</v>
      </c>
      <c r="AZ546" s="3"/>
      <c r="BA546" s="3"/>
      <c r="BB546" s="3"/>
      <c r="BC546" s="3"/>
      <c r="BD546" s="3"/>
      <c r="BE546" s="3"/>
      <c r="BF546" s="3"/>
      <c r="BG546" s="3"/>
      <c r="BH546" s="15"/>
      <c r="BI546" s="15"/>
      <c r="BJ546" s="15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CD546" s="3"/>
      <c r="CE546" s="3"/>
      <c r="CF546" s="3"/>
      <c r="CG546" s="3"/>
      <c r="CH546" s="3"/>
    </row>
    <row r="547" spans="1:96" s="5" customFormat="1" ht="14.25" customHeight="1">
      <c r="A547" s="136"/>
      <c r="B547" s="569"/>
      <c r="C547" s="526"/>
      <c r="D547" s="572"/>
      <c r="E547" s="909"/>
      <c r="F547" s="909"/>
      <c r="G547" s="910"/>
      <c r="H547" s="910"/>
      <c r="I547" s="910"/>
      <c r="J547" s="911"/>
      <c r="K547" s="912"/>
      <c r="L547" s="912"/>
      <c r="M547" s="906"/>
      <c r="N547" s="906"/>
      <c r="O547" s="907"/>
      <c r="P547" s="907"/>
      <c r="Q547" s="908"/>
      <c r="R547" s="3"/>
      <c r="S547" s="264"/>
      <c r="T547" s="264"/>
      <c r="U547" s="264"/>
      <c r="V547" s="264"/>
      <c r="W547" s="3"/>
      <c r="X547" s="264"/>
      <c r="Y547" s="264"/>
      <c r="Z547" s="264"/>
      <c r="AA547" s="3"/>
      <c r="AB547" s="3"/>
      <c r="AC547" s="3"/>
      <c r="AD547" s="41">
        <f t="shared" si="51"/>
        <v>20</v>
      </c>
      <c r="AE547" s="341" t="str">
        <f t="shared" si="53"/>
        <v>~</v>
      </c>
      <c r="AF547" s="551">
        <f t="shared" si="53"/>
        <v>21</v>
      </c>
      <c r="AG547" s="1426">
        <f t="shared" si="52"/>
        <v>1</v>
      </c>
      <c r="AH547" s="1426"/>
      <c r="AI547" s="591">
        <f t="shared" si="42"/>
        <v>1050000</v>
      </c>
      <c r="AJ547" s="604">
        <f t="shared" si="43"/>
        <v>-1.1664507179251109</v>
      </c>
      <c r="AK547" s="734">
        <f t="shared" si="44"/>
        <v>-3.433119201409299</v>
      </c>
      <c r="AL547" s="1409">
        <f t="shared" si="45"/>
        <v>0</v>
      </c>
      <c r="AM547" s="1410"/>
      <c r="AN547" s="1424">
        <f t="shared" si="46"/>
        <v>0</v>
      </c>
      <c r="AO547" s="1425"/>
      <c r="AP547" s="558" t="str">
        <f t="shared" si="47"/>
        <v/>
      </c>
      <c r="AQ547" s="556">
        <f>SUM($AG$527:AG546)+(AG547/2)</f>
        <v>18.740000000000002</v>
      </c>
      <c r="AR547" s="57"/>
      <c r="AS547" s="871">
        <v>21</v>
      </c>
      <c r="AT547" s="871"/>
      <c r="AU547" s="863">
        <f t="shared" si="34"/>
        <v>750</v>
      </c>
      <c r="AV547" s="864"/>
      <c r="AW547" s="3"/>
      <c r="AX547" s="735">
        <f t="shared" si="48"/>
        <v>0</v>
      </c>
      <c r="AY547" s="736">
        <f t="shared" si="49"/>
        <v>0</v>
      </c>
      <c r="AZ547" s="3"/>
      <c r="BA547" s="3"/>
      <c r="BB547" s="3"/>
      <c r="BC547" s="3"/>
      <c r="BD547" s="3"/>
      <c r="BE547" s="3"/>
      <c r="BF547" s="3"/>
      <c r="BG547" s="3"/>
      <c r="BH547" s="15"/>
      <c r="BI547" s="15"/>
      <c r="BJ547" s="15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CD547" s="3"/>
      <c r="CH547" s="3"/>
    </row>
    <row r="548" spans="1:96" s="5" customFormat="1" ht="14.25" customHeight="1">
      <c r="A548" s="136"/>
      <c r="B548" s="569"/>
      <c r="C548" s="526"/>
      <c r="D548" s="572"/>
      <c r="E548" s="909"/>
      <c r="F548" s="909"/>
      <c r="G548" s="910"/>
      <c r="H548" s="910"/>
      <c r="I548" s="910"/>
      <c r="J548" s="911"/>
      <c r="K548" s="912"/>
      <c r="L548" s="912"/>
      <c r="M548" s="906"/>
      <c r="N548" s="906"/>
      <c r="O548" s="907"/>
      <c r="P548" s="907"/>
      <c r="Q548" s="908"/>
      <c r="R548" s="3"/>
      <c r="S548" s="264"/>
      <c r="T548" s="264"/>
      <c r="U548" s="264"/>
      <c r="V548" s="264"/>
      <c r="W548" s="3"/>
      <c r="X548" s="264"/>
      <c r="Y548" s="264"/>
      <c r="Z548" s="264"/>
      <c r="AA548" s="3"/>
      <c r="AB548" s="3"/>
      <c r="AC548" s="3"/>
      <c r="AD548" s="41">
        <f t="shared" si="51"/>
        <v>21</v>
      </c>
      <c r="AE548" s="341" t="str">
        <f t="shared" si="53"/>
        <v>~</v>
      </c>
      <c r="AF548" s="551">
        <f t="shared" si="53"/>
        <v>22</v>
      </c>
      <c r="AG548" s="1426">
        <f t="shared" si="52"/>
        <v>1</v>
      </c>
      <c r="AH548" s="1426"/>
      <c r="AI548" s="591">
        <f t="shared" si="42"/>
        <v>1050000</v>
      </c>
      <c r="AJ548" s="604">
        <f t="shared" si="43"/>
        <v>-1.2693123332624223</v>
      </c>
      <c r="AK548" s="734">
        <f t="shared" si="44"/>
        <v>-3.6597744339977072</v>
      </c>
      <c r="AL548" s="1409">
        <f t="shared" si="45"/>
        <v>0</v>
      </c>
      <c r="AM548" s="1410"/>
      <c r="AN548" s="1424">
        <f t="shared" si="46"/>
        <v>0</v>
      </c>
      <c r="AO548" s="1425"/>
      <c r="AP548" s="558" t="str">
        <f t="shared" si="47"/>
        <v/>
      </c>
      <c r="AQ548" s="556">
        <f>SUM($AG$527:AG547)+(AG548/2)</f>
        <v>19.740000000000002</v>
      </c>
      <c r="AR548" s="57"/>
      <c r="AS548" s="871">
        <v>22</v>
      </c>
      <c r="AT548" s="871"/>
      <c r="AU548" s="863">
        <f t="shared" si="34"/>
        <v>750</v>
      </c>
      <c r="AV548" s="864"/>
      <c r="AW548" s="3"/>
      <c r="AX548" s="735">
        <f t="shared" si="48"/>
        <v>0</v>
      </c>
      <c r="AY548" s="736">
        <f t="shared" si="49"/>
        <v>0</v>
      </c>
      <c r="AZ548" s="3"/>
      <c r="BA548" s="3"/>
      <c r="BB548" s="3"/>
      <c r="BC548" s="3"/>
      <c r="BD548" s="3"/>
      <c r="BE548" s="3"/>
      <c r="BF548" s="3"/>
      <c r="BG548" s="3"/>
      <c r="BH548" s="15"/>
      <c r="BI548" s="15"/>
      <c r="BJ548" s="15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CH548" s="3"/>
    </row>
    <row r="549" spans="1:96" s="5" customFormat="1" ht="14.25" customHeight="1">
      <c r="A549" s="136"/>
      <c r="B549" s="569"/>
      <c r="C549" s="526"/>
      <c r="D549" s="572"/>
      <c r="E549" s="909"/>
      <c r="F549" s="909"/>
      <c r="G549" s="910"/>
      <c r="H549" s="910"/>
      <c r="I549" s="910"/>
      <c r="J549" s="911"/>
      <c r="K549" s="912"/>
      <c r="L549" s="912"/>
      <c r="M549" s="906"/>
      <c r="N549" s="906"/>
      <c r="O549" s="907"/>
      <c r="P549" s="907"/>
      <c r="Q549" s="908"/>
      <c r="R549" s="3"/>
      <c r="S549" s="264"/>
      <c r="T549" s="264"/>
      <c r="U549" s="264"/>
      <c r="V549" s="264"/>
      <c r="W549" s="3"/>
      <c r="X549" s="264"/>
      <c r="Y549" s="264"/>
      <c r="Z549" s="264"/>
      <c r="AA549" s="3"/>
      <c r="AB549" s="3"/>
      <c r="AC549" s="3"/>
      <c r="AD549" s="41">
        <f t="shared" si="51"/>
        <v>22</v>
      </c>
      <c r="AE549" s="341" t="str">
        <f t="shared" si="53"/>
        <v>~</v>
      </c>
      <c r="AF549" s="551">
        <f t="shared" si="53"/>
        <v>23</v>
      </c>
      <c r="AG549" s="1426">
        <f t="shared" si="52"/>
        <v>1</v>
      </c>
      <c r="AH549" s="1426"/>
      <c r="AI549" s="591">
        <f t="shared" si="42"/>
        <v>1050000</v>
      </c>
      <c r="AJ549" s="604">
        <f t="shared" si="43"/>
        <v>-1.3721739485997335</v>
      </c>
      <c r="AK549" s="734">
        <f t="shared" si="44"/>
        <v>-3.8864296665861162</v>
      </c>
      <c r="AL549" s="1409">
        <f t="shared" si="45"/>
        <v>0</v>
      </c>
      <c r="AM549" s="1410"/>
      <c r="AN549" s="1424">
        <f t="shared" si="46"/>
        <v>0</v>
      </c>
      <c r="AO549" s="1425"/>
      <c r="AP549" s="558" t="str">
        <f t="shared" si="47"/>
        <v/>
      </c>
      <c r="AQ549" s="556">
        <f>SUM($AG$527:AG548)+(AG549/2)</f>
        <v>20.740000000000002</v>
      </c>
      <c r="AR549" s="57"/>
      <c r="AS549" s="871">
        <v>23</v>
      </c>
      <c r="AT549" s="871"/>
      <c r="AU549" s="863">
        <f t="shared" si="34"/>
        <v>750</v>
      </c>
      <c r="AV549" s="864"/>
      <c r="AW549" s="3"/>
      <c r="AX549" s="735">
        <f t="shared" si="48"/>
        <v>0</v>
      </c>
      <c r="AY549" s="736">
        <f t="shared" si="49"/>
        <v>0</v>
      </c>
      <c r="AZ549" s="3"/>
      <c r="BA549" s="3"/>
      <c r="BB549" s="3"/>
      <c r="BC549" s="3"/>
      <c r="BD549" s="3"/>
      <c r="BE549" s="3"/>
      <c r="BF549" s="3"/>
      <c r="BG549" s="3"/>
      <c r="BH549" s="15"/>
      <c r="BI549" s="15"/>
      <c r="BJ549" s="15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CH549" s="3"/>
      <c r="CL549" s="3"/>
      <c r="CM549" s="3"/>
    </row>
    <row r="550" spans="1:96" s="5" customFormat="1" ht="14.25" customHeight="1">
      <c r="A550" s="136"/>
      <c r="B550" s="569"/>
      <c r="C550" s="526"/>
      <c r="D550" s="572"/>
      <c r="E550" s="909"/>
      <c r="F550" s="909"/>
      <c r="G550" s="910"/>
      <c r="H550" s="910"/>
      <c r="I550" s="910"/>
      <c r="J550" s="911"/>
      <c r="K550" s="912"/>
      <c r="L550" s="912"/>
      <c r="M550" s="906"/>
      <c r="N550" s="906"/>
      <c r="O550" s="907"/>
      <c r="P550" s="907"/>
      <c r="Q550" s="908"/>
      <c r="R550" s="3"/>
      <c r="S550" s="264"/>
      <c r="T550" s="264"/>
      <c r="U550" s="264"/>
      <c r="V550" s="264"/>
      <c r="W550" s="3"/>
      <c r="X550" s="264"/>
      <c r="Y550" s="264"/>
      <c r="Z550" s="264"/>
      <c r="AA550" s="3"/>
      <c r="AB550" s="3"/>
      <c r="AC550" s="3"/>
      <c r="AD550" s="41">
        <f t="shared" si="51"/>
        <v>23</v>
      </c>
      <c r="AE550" s="341" t="str">
        <f t="shared" si="53"/>
        <v>~</v>
      </c>
      <c r="AF550" s="551">
        <f t="shared" si="53"/>
        <v>24</v>
      </c>
      <c r="AG550" s="1426">
        <f t="shared" si="52"/>
        <v>1</v>
      </c>
      <c r="AH550" s="1426"/>
      <c r="AI550" s="591">
        <f t="shared" si="42"/>
        <v>1050000</v>
      </c>
      <c r="AJ550" s="604">
        <f t="shared" si="43"/>
        <v>-1.4750355639370447</v>
      </c>
      <c r="AK550" s="734">
        <f t="shared" si="44"/>
        <v>-4.1130848991745257</v>
      </c>
      <c r="AL550" s="1409">
        <f t="shared" si="45"/>
        <v>0</v>
      </c>
      <c r="AM550" s="1410"/>
      <c r="AN550" s="1424">
        <f t="shared" si="46"/>
        <v>0</v>
      </c>
      <c r="AO550" s="1425"/>
      <c r="AP550" s="558" t="str">
        <f t="shared" si="47"/>
        <v/>
      </c>
      <c r="AQ550" s="556">
        <f>SUM($AG$527:AG549)+(AG550/2)</f>
        <v>21.740000000000002</v>
      </c>
      <c r="AR550" s="57"/>
      <c r="AS550" s="871">
        <v>24</v>
      </c>
      <c r="AT550" s="871"/>
      <c r="AU550" s="863">
        <f t="shared" si="34"/>
        <v>750</v>
      </c>
      <c r="AV550" s="864"/>
      <c r="AW550" s="3"/>
      <c r="AX550" s="735">
        <f t="shared" si="48"/>
        <v>0</v>
      </c>
      <c r="AY550" s="736">
        <f t="shared" si="49"/>
        <v>0</v>
      </c>
      <c r="AZ550" s="3"/>
      <c r="BA550" s="3"/>
      <c r="BB550" s="3"/>
      <c r="BC550" s="3"/>
      <c r="BD550" s="3"/>
      <c r="BE550" s="3"/>
      <c r="BF550" s="3"/>
      <c r="BG550" s="3"/>
      <c r="BH550" s="15"/>
      <c r="BI550" s="15"/>
      <c r="BJ550" s="15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CH550" s="3"/>
      <c r="CK550" s="3"/>
      <c r="CL550" s="3"/>
      <c r="CM550" s="3"/>
      <c r="CN550" s="3"/>
    </row>
    <row r="551" spans="1:96" s="5" customFormat="1" ht="14.25" customHeight="1">
      <c r="A551" s="136"/>
      <c r="B551" s="570"/>
      <c r="C551" s="526"/>
      <c r="D551" s="572"/>
      <c r="E551" s="909"/>
      <c r="F551" s="909"/>
      <c r="G551" s="910"/>
      <c r="H551" s="910"/>
      <c r="I551" s="910"/>
      <c r="J551" s="912"/>
      <c r="K551" s="912"/>
      <c r="L551" s="912"/>
      <c r="M551" s="906"/>
      <c r="N551" s="906"/>
      <c r="O551" s="907"/>
      <c r="P551" s="907"/>
      <c r="Q551" s="908"/>
      <c r="R551" s="3"/>
      <c r="S551" s="264"/>
      <c r="T551" s="264"/>
      <c r="U551" s="264"/>
      <c r="V551" s="264"/>
      <c r="W551" s="3"/>
      <c r="X551" s="264"/>
      <c r="Y551" s="264"/>
      <c r="Z551" s="264"/>
      <c r="AA551" s="3"/>
      <c r="AB551" s="3"/>
      <c r="AC551" s="3"/>
      <c r="AD551" s="41">
        <f t="shared" si="51"/>
        <v>24</v>
      </c>
      <c r="AE551" s="341" t="str">
        <f t="shared" si="53"/>
        <v>~</v>
      </c>
      <c r="AF551" s="551">
        <f t="shared" si="53"/>
        <v>25</v>
      </c>
      <c r="AG551" s="1426">
        <f t="shared" si="52"/>
        <v>1</v>
      </c>
      <c r="AH551" s="1426"/>
      <c r="AI551" s="591">
        <f t="shared" si="42"/>
        <v>1050000</v>
      </c>
      <c r="AJ551" s="604">
        <f t="shared" si="43"/>
        <v>-1.5778971792743564</v>
      </c>
      <c r="AK551" s="734">
        <f t="shared" si="44"/>
        <v>-4.3397401317629347</v>
      </c>
      <c r="AL551" s="1409">
        <f t="shared" si="45"/>
        <v>0</v>
      </c>
      <c r="AM551" s="1410"/>
      <c r="AN551" s="1424">
        <f t="shared" si="46"/>
        <v>0</v>
      </c>
      <c r="AO551" s="1425"/>
      <c r="AP551" s="558" t="str">
        <f t="shared" si="47"/>
        <v/>
      </c>
      <c r="AQ551" s="556">
        <f>SUM($AG$527:AG550)+(AG551/2)</f>
        <v>22.740000000000002</v>
      </c>
      <c r="AR551" s="57"/>
      <c r="AS551" s="871">
        <v>25</v>
      </c>
      <c r="AT551" s="871"/>
      <c r="AU551" s="863">
        <f t="shared" si="34"/>
        <v>750</v>
      </c>
      <c r="AV551" s="864"/>
      <c r="AW551" s="3"/>
      <c r="AX551" s="735">
        <f t="shared" si="48"/>
        <v>0</v>
      </c>
      <c r="AY551" s="736">
        <f t="shared" si="49"/>
        <v>0</v>
      </c>
      <c r="AZ551" s="3"/>
      <c r="BA551" s="3"/>
      <c r="BB551" s="3"/>
      <c r="BC551" s="3"/>
      <c r="BD551" s="3"/>
      <c r="BE551" s="3"/>
      <c r="BF551" s="3"/>
      <c r="BG551" s="3"/>
      <c r="BH551" s="15"/>
      <c r="BI551" s="15"/>
      <c r="BJ551" s="15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CH551" s="3"/>
      <c r="CK551" s="3"/>
      <c r="CL551" s="3"/>
      <c r="CM551" s="3"/>
      <c r="CN551" s="3"/>
    </row>
    <row r="552" spans="1:96" s="5" customFormat="1" ht="14.25" customHeight="1">
      <c r="A552" s="136"/>
      <c r="B552" s="569"/>
      <c r="C552" s="526"/>
      <c r="D552" s="572"/>
      <c r="E552" s="909"/>
      <c r="F552" s="909"/>
      <c r="G552" s="910"/>
      <c r="H552" s="910"/>
      <c r="I552" s="910"/>
      <c r="J552" s="912"/>
      <c r="K552" s="912"/>
      <c r="L552" s="912"/>
      <c r="M552" s="906"/>
      <c r="N552" s="906"/>
      <c r="O552" s="907"/>
      <c r="P552" s="907"/>
      <c r="Q552" s="908"/>
      <c r="R552" s="3"/>
      <c r="S552" s="264"/>
      <c r="T552" s="264"/>
      <c r="U552" s="264"/>
      <c r="V552" s="264"/>
      <c r="W552" s="3"/>
      <c r="X552" s="264"/>
      <c r="Y552" s="264"/>
      <c r="Z552" s="264"/>
      <c r="AA552" s="3"/>
      <c r="AB552" s="3"/>
      <c r="AC552" s="3"/>
      <c r="AD552" s="41">
        <f t="shared" si="51"/>
        <v>25</v>
      </c>
      <c r="AE552" s="341" t="str">
        <f t="shared" si="53"/>
        <v>~</v>
      </c>
      <c r="AF552" s="551">
        <f t="shared" si="53"/>
        <v>26</v>
      </c>
      <c r="AG552" s="1426">
        <f t="shared" si="52"/>
        <v>1</v>
      </c>
      <c r="AH552" s="1426"/>
      <c r="AI552" s="591">
        <f t="shared" si="42"/>
        <v>1050000</v>
      </c>
      <c r="AJ552" s="604">
        <f t="shared" si="43"/>
        <v>-1.6807587946116676</v>
      </c>
      <c r="AK552" s="734">
        <f t="shared" si="44"/>
        <v>-4.5663953643513429</v>
      </c>
      <c r="AL552" s="1409">
        <f t="shared" si="45"/>
        <v>0</v>
      </c>
      <c r="AM552" s="1410"/>
      <c r="AN552" s="1424">
        <f t="shared" si="46"/>
        <v>0</v>
      </c>
      <c r="AO552" s="1425"/>
      <c r="AP552" s="558" t="str">
        <f t="shared" si="47"/>
        <v/>
      </c>
      <c r="AQ552" s="556">
        <f>SUM($AG$527:AG551)+(AG552/2)</f>
        <v>23.740000000000002</v>
      </c>
      <c r="AR552" s="57"/>
      <c r="AS552" s="871">
        <v>26</v>
      </c>
      <c r="AT552" s="871"/>
      <c r="AU552" s="863">
        <f t="shared" si="34"/>
        <v>750</v>
      </c>
      <c r="AV552" s="864"/>
      <c r="AW552" s="3"/>
      <c r="AX552" s="735">
        <f t="shared" si="48"/>
        <v>0</v>
      </c>
      <c r="AY552" s="736">
        <f t="shared" si="49"/>
        <v>0</v>
      </c>
      <c r="AZ552" s="3"/>
      <c r="BA552" s="3"/>
      <c r="BB552" s="3"/>
      <c r="BC552" s="3"/>
      <c r="BD552" s="3"/>
      <c r="BE552" s="3"/>
      <c r="BF552" s="3"/>
      <c r="BG552" s="3"/>
      <c r="BH552" s="15"/>
      <c r="BI552" s="15"/>
      <c r="BJ552" s="15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CH552" s="3"/>
      <c r="CK552" s="3"/>
      <c r="CL552" s="3"/>
      <c r="CM552" s="3"/>
      <c r="CN552" s="3"/>
      <c r="CO552" s="3"/>
    </row>
    <row r="553" spans="1:96" ht="14.25" customHeight="1" thickBot="1">
      <c r="A553" s="136"/>
      <c r="B553" s="571"/>
      <c r="C553" s="527"/>
      <c r="D553" s="573"/>
      <c r="E553" s="909"/>
      <c r="F553" s="909"/>
      <c r="G553" s="910"/>
      <c r="H553" s="910"/>
      <c r="I553" s="910"/>
      <c r="J553" s="912"/>
      <c r="K553" s="912"/>
      <c r="L553" s="912"/>
      <c r="M553" s="906"/>
      <c r="N553" s="906"/>
      <c r="O553" s="907"/>
      <c r="P553" s="907"/>
      <c r="Q553" s="908"/>
      <c r="S553" s="264"/>
      <c r="T553" s="264"/>
      <c r="U553" s="264"/>
      <c r="V553" s="264"/>
      <c r="X553" s="264"/>
      <c r="Y553" s="264"/>
      <c r="Z553" s="264"/>
      <c r="AD553" s="41">
        <f t="shared" si="51"/>
        <v>26</v>
      </c>
      <c r="AE553" s="341">
        <f t="shared" si="53"/>
        <v>0</v>
      </c>
      <c r="AF553" s="551">
        <f t="shared" si="53"/>
        <v>27</v>
      </c>
      <c r="AG553" s="1426">
        <f t="shared" si="52"/>
        <v>1</v>
      </c>
      <c r="AH553" s="1426"/>
      <c r="AI553" s="591">
        <f t="shared" si="42"/>
        <v>1050000</v>
      </c>
      <c r="AJ553" s="604">
        <f t="shared" si="43"/>
        <v>-1.7836204099489792</v>
      </c>
      <c r="AK553" s="734">
        <f t="shared" si="44"/>
        <v>-4.7930505969397519</v>
      </c>
      <c r="AL553" s="1409">
        <f t="shared" si="45"/>
        <v>0</v>
      </c>
      <c r="AM553" s="1410"/>
      <c r="AN553" s="1380"/>
      <c r="AO553" s="1433"/>
      <c r="AP553" s="558" t="str">
        <f t="shared" si="47"/>
        <v/>
      </c>
      <c r="AQ553" s="556">
        <f>SUM($AG$527:AG552)+(AG553/2)</f>
        <v>24.740000000000002</v>
      </c>
      <c r="AR553" s="57"/>
      <c r="AS553" s="871">
        <v>27</v>
      </c>
      <c r="AT553" s="871"/>
      <c r="AU553" s="863">
        <f>+AU36</f>
        <v>0</v>
      </c>
      <c r="AV553" s="864"/>
      <c r="AX553" s="735">
        <f t="shared" si="48"/>
        <v>0</v>
      </c>
      <c r="AY553" s="736">
        <f t="shared" si="49"/>
        <v>0</v>
      </c>
      <c r="BH553" s="15"/>
      <c r="BI553" s="15"/>
      <c r="BJ553" s="15"/>
      <c r="BY553" s="5"/>
      <c r="BZ553" s="5"/>
      <c r="CD553" s="5"/>
      <c r="CE553" s="5"/>
      <c r="CF553" s="5"/>
      <c r="CG553" s="5"/>
      <c r="CJ553" s="5"/>
      <c r="CQ553" s="5"/>
      <c r="CR553" s="5"/>
    </row>
    <row r="554" spans="1:96" ht="15" customHeight="1" thickTop="1" thickBot="1">
      <c r="A554" s="136"/>
      <c r="B554" s="270"/>
      <c r="C554" s="271"/>
      <c r="D554" s="272"/>
      <c r="E554" s="1388"/>
      <c r="F554" s="1388"/>
      <c r="G554" s="1370"/>
      <c r="H554" s="1370"/>
      <c r="I554" s="1370"/>
      <c r="J554" s="1371"/>
      <c r="K554" s="1371"/>
      <c r="L554" s="1371"/>
      <c r="M554" s="1372" t="s">
        <v>301</v>
      </c>
      <c r="N554" s="1372"/>
      <c r="O554" s="1373">
        <f>SUM(O527:Q553)</f>
        <v>1.1769999999999999E-4</v>
      </c>
      <c r="P554" s="1373">
        <f>SUM(P527:V545)</f>
        <v>0</v>
      </c>
      <c r="Q554" s="1374"/>
      <c r="S554" s="273"/>
      <c r="T554" s="273"/>
      <c r="U554" s="273"/>
      <c r="V554" s="273"/>
      <c r="X554" s="273"/>
      <c r="Y554" s="273"/>
      <c r="Z554" s="273"/>
      <c r="AD554" s="41">
        <f t="shared" si="51"/>
        <v>27</v>
      </c>
      <c r="AE554" s="341">
        <f t="shared" si="53"/>
        <v>0</v>
      </c>
      <c r="AF554" s="551">
        <f t="shared" si="53"/>
        <v>0</v>
      </c>
      <c r="AG554" s="1426"/>
      <c r="AH554" s="1426"/>
      <c r="AI554" s="593"/>
      <c r="AJ554" s="604" t="str">
        <f t="shared" ref="AJ554:AJ555" si="54">IF(AG554="","",(IF(AQ554&lt;$AJ$573,(AQ554*$AL$572+$AM$572),(AQ554*$AL$573+$AM$573))))</f>
        <v/>
      </c>
      <c r="AK554" s="594"/>
      <c r="AL554" s="1409"/>
      <c r="AM554" s="1410"/>
      <c r="AN554" s="1380"/>
      <c r="AO554" s="1433"/>
      <c r="AP554" s="558" t="str">
        <f t="shared" si="47"/>
        <v>no</v>
      </c>
      <c r="AQ554" s="556"/>
      <c r="AR554" s="57"/>
      <c r="AS554" s="871"/>
      <c r="AT554" s="871"/>
      <c r="AU554" s="863"/>
      <c r="AV554" s="864"/>
      <c r="AX554" s="735">
        <f t="shared" si="48"/>
        <v>0</v>
      </c>
      <c r="AY554" s="736">
        <f t="shared" si="49"/>
        <v>0</v>
      </c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Y554" s="5"/>
      <c r="BZ554" s="5"/>
      <c r="CD554" s="5"/>
      <c r="CE554" s="5"/>
      <c r="CF554" s="5"/>
      <c r="CG554" s="5"/>
      <c r="CJ554" s="5"/>
      <c r="CL554" s="5"/>
      <c r="CM554" s="5"/>
    </row>
    <row r="555" spans="1:96" ht="15" customHeight="1" thickTop="1">
      <c r="A555" s="136"/>
      <c r="B555" s="136"/>
      <c r="E555" s="258"/>
      <c r="F555" s="258"/>
      <c r="G555" s="258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AD555" s="41">
        <f t="shared" si="51"/>
        <v>0</v>
      </c>
      <c r="AE555" s="341">
        <f t="shared" si="53"/>
        <v>0</v>
      </c>
      <c r="AF555" s="551">
        <f t="shared" si="53"/>
        <v>0</v>
      </c>
      <c r="AG555" s="865"/>
      <c r="AH555" s="866"/>
      <c r="AI555" s="593"/>
      <c r="AJ555" s="604" t="str">
        <f t="shared" si="54"/>
        <v/>
      </c>
      <c r="AK555" s="594"/>
      <c r="AL555" s="1409"/>
      <c r="AM555" s="1410"/>
      <c r="AN555" s="1380"/>
      <c r="AO555" s="1433"/>
      <c r="AP555" s="558" t="str">
        <f t="shared" si="47"/>
        <v>no</v>
      </c>
      <c r="AQ555" s="556"/>
      <c r="AR555" s="57"/>
      <c r="AS555" s="871"/>
      <c r="AT555" s="871"/>
      <c r="AU555" s="863"/>
      <c r="AV555" s="864"/>
      <c r="AX555" s="735">
        <f t="shared" si="48"/>
        <v>0</v>
      </c>
      <c r="AY555" s="736">
        <f t="shared" si="49"/>
        <v>0</v>
      </c>
      <c r="AZ555" s="20"/>
      <c r="BA555" s="1303"/>
      <c r="BB555" s="1303"/>
      <c r="BC555" s="1303"/>
      <c r="BD555" s="1303"/>
      <c r="BE555" s="1303"/>
      <c r="BF555" s="21"/>
      <c r="BG555" s="21"/>
      <c r="BH555" s="20"/>
      <c r="BI555" s="20"/>
      <c r="BJ555" s="20"/>
      <c r="BY555" s="5"/>
      <c r="CD555" s="5"/>
      <c r="CE555" s="5"/>
      <c r="CF555" s="5"/>
      <c r="CG555" s="5"/>
      <c r="CJ555" s="5"/>
      <c r="CK555" s="5"/>
      <c r="CL555" s="5"/>
      <c r="CM555" s="5"/>
      <c r="CN555" s="5"/>
    </row>
    <row r="556" spans="1:96" ht="15" customHeight="1">
      <c r="A556" s="5"/>
      <c r="B556" s="5"/>
      <c r="C556" s="1376" t="s">
        <v>362</v>
      </c>
      <c r="D556" s="1377" t="s">
        <v>327</v>
      </c>
      <c r="E556" s="1375">
        <f>+T521</f>
        <v>0.5</v>
      </c>
      <c r="F556" s="1375"/>
      <c r="G556" s="1067" t="s">
        <v>249</v>
      </c>
      <c r="H556" s="1375">
        <f>+W521</f>
        <v>1.4352182518111363</v>
      </c>
      <c r="I556" s="1375"/>
      <c r="J556" s="1067" t="s">
        <v>249</v>
      </c>
      <c r="K556" s="1428">
        <f>+N521-Q521</f>
        <v>29.8</v>
      </c>
      <c r="L556" s="1428"/>
      <c r="M556" s="1067" t="s">
        <v>249</v>
      </c>
      <c r="N556" s="1429">
        <f>+O554</f>
        <v>1.1769999999999999E-4</v>
      </c>
      <c r="O556" s="1429"/>
      <c r="P556" s="1429"/>
      <c r="Q556" s="1429" t="s">
        <v>328</v>
      </c>
      <c r="R556" s="1067" t="s">
        <v>249</v>
      </c>
      <c r="S556" s="1503">
        <v>1000</v>
      </c>
      <c r="T556" s="1503"/>
      <c r="U556" s="1067" t="s">
        <v>316</v>
      </c>
      <c r="V556" s="1502">
        <f>ROUND(+E556*H556*K556*N556*S556,2)</f>
        <v>2.52</v>
      </c>
      <c r="W556" s="1502"/>
      <c r="X556" s="1502"/>
      <c r="Y556" s="1554" t="s">
        <v>329</v>
      </c>
      <c r="AA556" s="542"/>
      <c r="AD556" s="41">
        <f t="shared" si="51"/>
        <v>0</v>
      </c>
      <c r="AE556" s="341">
        <f t="shared" si="53"/>
        <v>0</v>
      </c>
      <c r="AF556" s="551">
        <f t="shared" si="53"/>
        <v>0</v>
      </c>
      <c r="AG556" s="865"/>
      <c r="AH556" s="866"/>
      <c r="AI556" s="593"/>
      <c r="AJ556" s="606"/>
      <c r="AK556" s="594"/>
      <c r="AL556" s="1409"/>
      <c r="AM556" s="1410"/>
      <c r="AN556" s="1380"/>
      <c r="AO556" s="1433"/>
      <c r="AP556" s="558" t="str">
        <f t="shared" si="47"/>
        <v>no</v>
      </c>
      <c r="AQ556" s="556"/>
      <c r="AR556" s="57"/>
      <c r="AS556" s="871"/>
      <c r="AT556" s="871"/>
      <c r="AU556" s="863"/>
      <c r="AV556" s="864"/>
      <c r="AX556" s="735">
        <f t="shared" si="48"/>
        <v>0</v>
      </c>
      <c r="AY556" s="736">
        <f t="shared" si="49"/>
        <v>0</v>
      </c>
      <c r="AZ556" s="20"/>
      <c r="BA556" s="757">
        <f>+IF(H521&lt;F14,S14,IF(H521&lt;F15,S15,IF(H521&lt;F16,S16,IF(H521&lt;F17,S17,S18))))</f>
        <v>0.4</v>
      </c>
      <c r="BB556" s="739"/>
      <c r="BC556" s="739"/>
      <c r="BD556" s="739"/>
      <c r="BE556" s="739"/>
      <c r="BF556" s="17"/>
      <c r="BG556" s="17"/>
      <c r="BH556" s="17"/>
      <c r="BI556" s="17"/>
      <c r="BJ556" s="17"/>
      <c r="BY556" s="5"/>
      <c r="CD556" s="5"/>
      <c r="CE556" s="5"/>
      <c r="CF556" s="5"/>
      <c r="CG556" s="5"/>
      <c r="CJ556" s="5"/>
      <c r="CK556" s="5"/>
      <c r="CL556" s="5"/>
      <c r="CM556" s="5"/>
      <c r="CN556" s="5"/>
    </row>
    <row r="557" spans="1:96" ht="15" customHeight="1">
      <c r="A557" s="5"/>
      <c r="B557" s="5"/>
      <c r="C557" s="1376"/>
      <c r="D557" s="1376"/>
      <c r="E557" s="1375"/>
      <c r="F557" s="1375"/>
      <c r="G557" s="1067" t="s">
        <v>249</v>
      </c>
      <c r="H557" s="1375"/>
      <c r="I557" s="1375"/>
      <c r="J557" s="1067" t="s">
        <v>249</v>
      </c>
      <c r="K557" s="1428"/>
      <c r="L557" s="1428"/>
      <c r="M557" s="1067" t="s">
        <v>249</v>
      </c>
      <c r="N557" s="1429"/>
      <c r="O557" s="1429"/>
      <c r="P557" s="1429"/>
      <c r="Q557" s="1429" t="s">
        <v>249</v>
      </c>
      <c r="R557" s="1067" t="s">
        <v>249</v>
      </c>
      <c r="S557" s="1503"/>
      <c r="T557" s="1503"/>
      <c r="U557" s="1067"/>
      <c r="V557" s="1502"/>
      <c r="W557" s="1502"/>
      <c r="X557" s="1502"/>
      <c r="Y557" s="1554"/>
      <c r="Z557" s="542"/>
      <c r="AA557" s="542"/>
      <c r="AC557" s="5"/>
      <c r="AD557" s="365"/>
      <c r="AE557" s="366"/>
      <c r="AF557" s="367"/>
      <c r="AG557" s="367"/>
      <c r="AH557" s="367"/>
      <c r="AI557" s="367"/>
      <c r="AJ557" s="70"/>
      <c r="AK557" s="71" t="s">
        <v>97</v>
      </c>
      <c r="AL557" s="1434">
        <f>SUM(AL527:AM556)</f>
        <v>1.1769999999999999E-4</v>
      </c>
      <c r="AM557" s="1435"/>
      <c r="AN557" s="1434">
        <f>SUM(AN527:AO556)</f>
        <v>1.816E-4</v>
      </c>
      <c r="AO557" s="1435"/>
      <c r="AX557" s="696">
        <f>ROUND(SUM(AX527:AX556)/(AJ574-AJ572)*BC558,0)</f>
        <v>454199</v>
      </c>
      <c r="AY557" s="697">
        <f>ROUND(SUM(AY527:AY556)/(AJ570-AJ568),0)</f>
        <v>8600</v>
      </c>
      <c r="AZ557" s="20"/>
      <c r="BA557" s="758">
        <f>1-BA556</f>
        <v>0.6</v>
      </c>
      <c r="BB557" s="758"/>
      <c r="BC557" s="758"/>
      <c r="BD557" s="57"/>
      <c r="BE557" s="57"/>
      <c r="BF557" s="352"/>
      <c r="BG557" s="352"/>
      <c r="BH557" s="17"/>
      <c r="BI557" s="17"/>
      <c r="BJ557" s="17"/>
      <c r="BX557" s="5"/>
      <c r="BY557" s="5"/>
      <c r="CD557" s="5"/>
      <c r="CE557" s="5"/>
      <c r="CF557" s="5"/>
      <c r="CG557" s="5"/>
      <c r="CJ557" s="5"/>
      <c r="CK557" s="5"/>
      <c r="CL557" s="5"/>
      <c r="CM557" s="5"/>
      <c r="CN557" s="5"/>
      <c r="CO557" s="5"/>
    </row>
    <row r="558" spans="1:96" s="5" customFormat="1" ht="15" customHeight="1">
      <c r="C558" s="125"/>
      <c r="D558" s="125"/>
      <c r="E558" s="296"/>
      <c r="F558" s="296"/>
      <c r="G558" s="296"/>
      <c r="H558" s="296"/>
      <c r="I558" s="296"/>
      <c r="J558" s="296"/>
      <c r="K558" s="300"/>
      <c r="L558" s="300"/>
      <c r="M558" s="296"/>
      <c r="N558" s="301"/>
      <c r="O558" s="301"/>
      <c r="P558" s="301"/>
      <c r="Q558" s="301"/>
      <c r="R558" s="296"/>
      <c r="S558" s="302"/>
      <c r="T558" s="302"/>
      <c r="U558" s="302"/>
      <c r="V558" s="301"/>
      <c r="W558" s="125"/>
      <c r="X558" s="347"/>
      <c r="Y558" s="347"/>
      <c r="Z558" s="347"/>
      <c r="AA558" s="348"/>
      <c r="AB558" s="3"/>
      <c r="AD558" s="3"/>
      <c r="AE558" s="3"/>
      <c r="AF558" s="3"/>
      <c r="AG558" s="3"/>
      <c r="AH558" s="3"/>
      <c r="AI558" s="3">
        <f>+AI557*AL557*AO557*AS557*1000</f>
        <v>0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20"/>
      <c r="AY558" s="20"/>
      <c r="AZ558" s="20"/>
      <c r="BA558" s="759">
        <f>1+BA556</f>
        <v>1.4</v>
      </c>
      <c r="BB558" s="759">
        <f>+(1-2*BA556)</f>
        <v>0.19999999999999996</v>
      </c>
      <c r="BC558" s="760">
        <f>+BA557/(BA558*BB558)</f>
        <v>2.1428571428571432</v>
      </c>
      <c r="BD558" s="737"/>
      <c r="BE558" s="737"/>
      <c r="BF558" s="17"/>
      <c r="BG558" s="17"/>
      <c r="BH558" s="17"/>
      <c r="BI558" s="17"/>
      <c r="BJ558" s="17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Z558" s="3"/>
      <c r="CA558" s="3"/>
      <c r="CB558" s="3"/>
      <c r="CC558" s="3"/>
      <c r="CH558" s="3"/>
      <c r="CL558" s="3"/>
      <c r="CM558" s="3"/>
      <c r="CQ558" s="3"/>
      <c r="CR558" s="3"/>
    </row>
    <row r="559" spans="1:96" s="5" customFormat="1" ht="15" customHeight="1">
      <c r="C559" s="125"/>
      <c r="D559" s="125"/>
      <c r="E559" s="296"/>
      <c r="F559" s="296"/>
      <c r="G559" s="296"/>
      <c r="H559" s="296"/>
      <c r="I559" s="296"/>
      <c r="J559" s="296"/>
      <c r="K559" s="300"/>
      <c r="L559" s="300"/>
      <c r="M559" s="296"/>
      <c r="N559" s="301"/>
      <c r="O559" s="301"/>
      <c r="P559" s="301"/>
      <c r="Q559" s="301"/>
      <c r="R559" s="296"/>
      <c r="S559" s="302"/>
      <c r="T559" s="302"/>
      <c r="U559" s="302"/>
      <c r="V559" s="301"/>
      <c r="W559" s="125"/>
      <c r="X559" s="347"/>
      <c r="Y559" s="347"/>
      <c r="Z559" s="347"/>
      <c r="AA559" s="348"/>
      <c r="AB559" s="3"/>
      <c r="AD559" s="3"/>
      <c r="AE559" s="3"/>
      <c r="AF559" s="3"/>
      <c r="AG559" s="3"/>
      <c r="AH559" s="3" t="s">
        <v>299</v>
      </c>
      <c r="AI559" s="3"/>
      <c r="AJ559" s="3"/>
      <c r="AK559" s="3" t="s">
        <v>300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20"/>
      <c r="AY559" s="20"/>
      <c r="AZ559" s="20"/>
      <c r="BA559" s="738"/>
      <c r="BB559" s="738"/>
      <c r="BC559" s="16"/>
      <c r="BD559" s="16"/>
      <c r="BE559" s="16"/>
      <c r="BF559" s="17"/>
      <c r="BG559" s="17"/>
      <c r="BH559" s="17"/>
      <c r="BI559" s="17"/>
      <c r="BJ559" s="17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Z559" s="3"/>
      <c r="CE559" s="3"/>
      <c r="CF559" s="3"/>
      <c r="CG559" s="3"/>
      <c r="CH559" s="3"/>
      <c r="CJ559" s="3"/>
      <c r="CK559" s="3"/>
      <c r="CL559" s="3"/>
      <c r="CM559" s="3"/>
      <c r="CN559" s="3"/>
    </row>
    <row r="560" spans="1:96" s="5" customFormat="1" ht="15" customHeight="1">
      <c r="C560" s="125"/>
      <c r="D560" s="125"/>
      <c r="E560" s="296"/>
      <c r="F560" s="296"/>
      <c r="G560" s="296"/>
      <c r="H560" s="296"/>
      <c r="I560" s="296"/>
      <c r="J560" s="296"/>
      <c r="K560" s="300"/>
      <c r="L560" s="300"/>
      <c r="M560" s="296"/>
      <c r="N560" s="301"/>
      <c r="O560" s="301"/>
      <c r="P560" s="301"/>
      <c r="Q560" s="301"/>
      <c r="R560" s="296"/>
      <c r="S560" s="302"/>
      <c r="T560" s="302"/>
      <c r="U560" s="302"/>
      <c r="V560" s="301"/>
      <c r="W560" s="125"/>
      <c r="X560" s="347"/>
      <c r="Y560" s="347"/>
      <c r="Z560" s="347"/>
      <c r="AA560" s="348"/>
      <c r="AB560" s="3"/>
      <c r="AD560" s="3"/>
      <c r="AE560" s="3"/>
      <c r="AF560" s="3"/>
      <c r="AG560" s="3"/>
      <c r="AH560" s="3" t="s">
        <v>302</v>
      </c>
      <c r="AI560" s="3"/>
      <c r="AJ560" s="3"/>
      <c r="AK560" s="3" t="s">
        <v>303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20"/>
      <c r="AY560" s="20"/>
      <c r="AZ560" s="20"/>
      <c r="BA560" s="20"/>
      <c r="BB560" s="20"/>
      <c r="BC560" s="17"/>
      <c r="BD560" s="17"/>
      <c r="BE560" s="17"/>
      <c r="BF560" s="17"/>
      <c r="BG560" s="17"/>
      <c r="BH560" s="17"/>
      <c r="BI560" s="17"/>
      <c r="BJ560" s="17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Z560" s="3"/>
      <c r="CD560" s="3"/>
      <c r="CE560" s="3"/>
      <c r="CF560" s="3"/>
      <c r="CG560" s="3"/>
      <c r="CH560" s="3"/>
      <c r="CJ560" s="3"/>
      <c r="CK560" s="3"/>
      <c r="CL560" s="3"/>
      <c r="CM560" s="3"/>
      <c r="CN560" s="3"/>
    </row>
    <row r="561" spans="1:96" s="5" customFormat="1" ht="15" customHeight="1">
      <c r="C561" s="125"/>
      <c r="D561" s="125"/>
      <c r="E561" s="296"/>
      <c r="F561" s="296"/>
      <c r="G561" s="296"/>
      <c r="H561" s="296"/>
      <c r="I561" s="296"/>
      <c r="J561" s="296"/>
      <c r="K561" s="300"/>
      <c r="L561" s="300"/>
      <c r="M561" s="296"/>
      <c r="N561" s="301"/>
      <c r="O561" s="301"/>
      <c r="P561" s="301"/>
      <c r="Q561" s="301"/>
      <c r="R561" s="296"/>
      <c r="S561" s="302"/>
      <c r="T561" s="302"/>
      <c r="U561" s="302"/>
      <c r="V561" s="301"/>
      <c r="W561" s="125"/>
      <c r="X561" s="347"/>
      <c r="Y561" s="347"/>
      <c r="Z561" s="347"/>
      <c r="AA561" s="348"/>
      <c r="AB561" s="3"/>
      <c r="AD561" s="452" t="s">
        <v>304</v>
      </c>
      <c r="AE561" s="452" t="s">
        <v>378</v>
      </c>
      <c r="AF561" s="452"/>
      <c r="AG561" s="452"/>
      <c r="AH561" s="452"/>
      <c r="AI561" s="452"/>
      <c r="AJ561" s="452"/>
      <c r="AK561" s="452"/>
      <c r="AL561" s="452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20"/>
      <c r="AY561" s="20"/>
      <c r="AZ561" s="20"/>
      <c r="BA561" s="20"/>
      <c r="BB561" s="20"/>
      <c r="BC561" s="17"/>
      <c r="BD561" s="17"/>
      <c r="BE561" s="17"/>
      <c r="BF561" s="17"/>
      <c r="BG561" s="17"/>
      <c r="BH561" s="17"/>
      <c r="BI561" s="17"/>
      <c r="BJ561" s="17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Y561" s="3"/>
      <c r="CD561" s="3"/>
      <c r="CE561" s="3"/>
      <c r="CF561" s="3"/>
      <c r="CG561" s="3"/>
      <c r="CH561" s="3"/>
      <c r="CJ561" s="3"/>
      <c r="CK561" s="3"/>
      <c r="CL561" s="3"/>
      <c r="CM561" s="3"/>
      <c r="CN561" s="3"/>
      <c r="CO561" s="3"/>
    </row>
    <row r="562" spans="1:96" ht="15" customHeight="1">
      <c r="A562" s="5"/>
      <c r="B562" s="5"/>
      <c r="C562" s="125"/>
      <c r="D562" s="125"/>
      <c r="E562" s="296"/>
      <c r="F562" s="296"/>
      <c r="G562" s="296"/>
      <c r="H562" s="296"/>
      <c r="I562" s="296"/>
      <c r="J562" s="296"/>
      <c r="K562" s="300"/>
      <c r="L562" s="300"/>
      <c r="M562" s="296"/>
      <c r="N562" s="301"/>
      <c r="O562" s="301"/>
      <c r="P562" s="301"/>
      <c r="Q562" s="301"/>
      <c r="R562" s="296"/>
      <c r="S562" s="302"/>
      <c r="T562" s="302"/>
      <c r="U562" s="302"/>
      <c r="V562" s="301"/>
      <c r="W562" s="125"/>
      <c r="X562" s="347"/>
      <c r="Y562" s="347"/>
      <c r="Z562" s="347"/>
      <c r="AA562" s="348"/>
      <c r="AB562" s="346"/>
      <c r="AC562" s="5"/>
      <c r="AI562" s="1384">
        <f>+F5/J5</f>
        <v>0.74</v>
      </c>
      <c r="AJ562" s="1384"/>
      <c r="AX562" s="20"/>
      <c r="AY562" s="20"/>
      <c r="AZ562" s="20"/>
      <c r="BA562" s="20"/>
      <c r="BB562" s="20"/>
      <c r="BC562" s="17"/>
      <c r="BD562" s="17"/>
      <c r="BE562" s="17"/>
      <c r="BF562" s="17"/>
      <c r="BG562" s="17"/>
      <c r="BH562" s="17"/>
      <c r="BI562" s="17"/>
      <c r="BJ562" s="17"/>
      <c r="BX562" s="5"/>
      <c r="BZ562" s="5"/>
      <c r="CA562" s="5"/>
      <c r="CB562" s="5"/>
      <c r="CC562" s="5"/>
      <c r="CQ562" s="5"/>
      <c r="CR562" s="5"/>
    </row>
    <row r="563" spans="1:96" ht="15" customHeight="1">
      <c r="A563" s="5"/>
      <c r="B563" s="5"/>
      <c r="C563" s="125"/>
      <c r="D563" s="125"/>
      <c r="E563" s="296"/>
      <c r="F563" s="296"/>
      <c r="G563" s="296"/>
      <c r="H563" s="296"/>
      <c r="I563" s="296"/>
      <c r="J563" s="296"/>
      <c r="K563" s="300"/>
      <c r="L563" s="300"/>
      <c r="M563" s="296"/>
      <c r="N563" s="301"/>
      <c r="O563" s="301"/>
      <c r="P563" s="301"/>
      <c r="Q563" s="301"/>
      <c r="R563" s="296"/>
      <c r="S563" s="302"/>
      <c r="T563" s="302"/>
      <c r="U563" s="302"/>
      <c r="V563" s="301"/>
      <c r="W563" s="125"/>
      <c r="X563" s="347"/>
      <c r="Y563" s="347"/>
      <c r="Z563" s="347"/>
      <c r="AA563" s="348"/>
      <c r="AB563" s="346"/>
      <c r="AC563" s="5"/>
      <c r="AG563" s="5"/>
      <c r="AI563" s="278" t="s">
        <v>307</v>
      </c>
      <c r="AJ563" s="279" t="s">
        <v>308</v>
      </c>
      <c r="AK563" s="279" t="s">
        <v>309</v>
      </c>
      <c r="AL563" s="279" t="s">
        <v>310</v>
      </c>
      <c r="AM563" s="280" t="s">
        <v>311</v>
      </c>
      <c r="AQ563" s="364"/>
      <c r="AR563" s="364"/>
      <c r="AS563" s="364"/>
      <c r="AT563" s="364"/>
      <c r="AU563" s="370"/>
      <c r="AV563" s="364"/>
      <c r="BX563" s="5"/>
      <c r="BZ563" s="5"/>
    </row>
    <row r="564" spans="1:96" ht="15" customHeight="1">
      <c r="A564" s="5"/>
      <c r="B564" s="5"/>
      <c r="C564" s="125"/>
      <c r="D564" s="125"/>
      <c r="E564" s="296"/>
      <c r="F564" s="296"/>
      <c r="G564" s="296"/>
      <c r="H564" s="296"/>
      <c r="I564" s="296"/>
      <c r="J564" s="296"/>
      <c r="K564" s="300"/>
      <c r="L564" s="300"/>
      <c r="M564" s="296"/>
      <c r="N564" s="301"/>
      <c r="O564" s="301"/>
      <c r="P564" s="301"/>
      <c r="Q564" s="301"/>
      <c r="R564" s="296"/>
      <c r="S564" s="302"/>
      <c r="T564" s="302"/>
      <c r="U564" s="302"/>
      <c r="V564" s="301"/>
      <c r="W564" s="125"/>
      <c r="X564" s="347"/>
      <c r="Y564" s="347"/>
      <c r="Z564" s="347"/>
      <c r="AA564" s="348"/>
      <c r="AB564" s="349"/>
      <c r="AC564" s="5"/>
      <c r="AI564" s="281">
        <v>0</v>
      </c>
      <c r="AJ564" s="282">
        <v>0.4</v>
      </c>
      <c r="AK564" s="282">
        <v>0.1</v>
      </c>
      <c r="AL564" s="283">
        <f>SLOPE(AK564:AK565,AJ564:AJ565)</f>
        <v>0.43243243243243235</v>
      </c>
      <c r="AM564" s="284">
        <f>INTERCEPT(AK564:AK565,AJ564:AJ565)</f>
        <v>-7.2972972972972949E-2</v>
      </c>
      <c r="AS564" s="371"/>
      <c r="AW564" s="5"/>
      <c r="AY564" s="3"/>
      <c r="BX564" s="5"/>
      <c r="BZ564" s="5"/>
      <c r="CJ564" s="5"/>
    </row>
    <row r="565" spans="1:96" ht="15" customHeight="1">
      <c r="A565" s="5"/>
      <c r="B565" s="5"/>
      <c r="C565" s="125"/>
      <c r="D565" s="125"/>
      <c r="E565" s="296"/>
      <c r="F565" s="296"/>
      <c r="G565" s="296"/>
      <c r="H565" s="296"/>
      <c r="I565" s="296"/>
      <c r="J565" s="296"/>
      <c r="K565" s="300"/>
      <c r="L565" s="300"/>
      <c r="M565" s="296"/>
      <c r="N565" s="301"/>
      <c r="O565" s="301"/>
      <c r="P565" s="301"/>
      <c r="Q565" s="301"/>
      <c r="R565" s="296"/>
      <c r="S565" s="302"/>
      <c r="T565" s="302"/>
      <c r="U565" s="302"/>
      <c r="V565" s="301"/>
      <c r="W565" s="125"/>
      <c r="X565" s="347"/>
      <c r="Y565" s="347"/>
      <c r="Z565" s="347"/>
      <c r="AA565" s="348"/>
      <c r="AB565" s="349"/>
      <c r="AC565" s="5"/>
      <c r="AI565" s="286">
        <v>0.5</v>
      </c>
      <c r="AJ565" s="287">
        <f>AI565*F5+AJ564</f>
        <v>1.3250000000000002</v>
      </c>
      <c r="AK565" s="282">
        <v>0.5</v>
      </c>
      <c r="AL565" s="283">
        <f>SLOPE(AK565:AK566,AJ565:AJ566)</f>
        <v>-0.18018018018018014</v>
      </c>
      <c r="AM565" s="284">
        <f>INTERCEPT(AK565:AK566,AJ565:AJ566)</f>
        <v>0.73873873873873874</v>
      </c>
      <c r="AW565" s="5"/>
      <c r="AY565" s="3"/>
      <c r="BX565" s="5"/>
      <c r="CE565" s="5"/>
      <c r="CF565" s="5"/>
      <c r="CG565" s="5"/>
      <c r="CJ565" s="5"/>
    </row>
    <row r="566" spans="1:96" ht="15" customHeight="1">
      <c r="A566" s="5"/>
      <c r="B566" s="5"/>
      <c r="C566" s="125"/>
      <c r="D566" s="125"/>
      <c r="E566" s="296"/>
      <c r="F566" s="296"/>
      <c r="G566" s="296"/>
      <c r="H566" s="296"/>
      <c r="I566" s="296"/>
      <c r="J566" s="296"/>
      <c r="K566" s="300"/>
      <c r="L566" s="300"/>
      <c r="M566" s="296"/>
      <c r="N566" s="301"/>
      <c r="O566" s="301"/>
      <c r="P566" s="301"/>
      <c r="Q566" s="301"/>
      <c r="R566" s="296"/>
      <c r="S566" s="302"/>
      <c r="T566" s="302"/>
      <c r="U566" s="302"/>
      <c r="V566" s="301"/>
      <c r="W566" s="125"/>
      <c r="X566" s="347"/>
      <c r="Y566" s="347"/>
      <c r="Z566" s="347"/>
      <c r="AA566" s="348"/>
      <c r="AC566" s="5"/>
      <c r="AI566" s="288">
        <v>2</v>
      </c>
      <c r="AJ566" s="289">
        <f>AI566*F5+AJ564</f>
        <v>4.1000000000000005</v>
      </c>
      <c r="AK566" s="289">
        <v>0</v>
      </c>
      <c r="AL566" s="290"/>
      <c r="AM566" s="291"/>
      <c r="BX566" s="5"/>
      <c r="CD566" s="5"/>
      <c r="CE566" s="5"/>
      <c r="CF566" s="5"/>
      <c r="CG566" s="5"/>
      <c r="CJ566" s="5"/>
    </row>
    <row r="567" spans="1:96" ht="15" customHeight="1">
      <c r="A567" s="5"/>
      <c r="B567" s="5"/>
      <c r="C567" s="125"/>
      <c r="D567" s="125"/>
      <c r="E567" s="296"/>
      <c r="F567" s="296"/>
      <c r="G567" s="296"/>
      <c r="H567" s="296"/>
      <c r="I567" s="296"/>
      <c r="J567" s="296"/>
      <c r="K567" s="300"/>
      <c r="L567" s="300"/>
      <c r="M567" s="296"/>
      <c r="N567" s="301"/>
      <c r="O567" s="301"/>
      <c r="P567" s="301"/>
      <c r="Q567" s="301"/>
      <c r="R567" s="296"/>
      <c r="S567" s="302"/>
      <c r="T567" s="302"/>
      <c r="U567" s="302"/>
      <c r="V567" s="301"/>
      <c r="W567" s="125"/>
      <c r="X567" s="347"/>
      <c r="Y567" s="347"/>
      <c r="Z567" s="347"/>
      <c r="AA567" s="348"/>
      <c r="AC567" s="5"/>
      <c r="AI567" s="374" t="s">
        <v>314</v>
      </c>
      <c r="AJ567" s="375" t="s">
        <v>308</v>
      </c>
      <c r="AK567" s="375" t="s">
        <v>309</v>
      </c>
      <c r="AL567" s="376" t="s">
        <v>310</v>
      </c>
      <c r="AM567" s="377" t="s">
        <v>311</v>
      </c>
      <c r="AW567" s="364"/>
      <c r="AX567" s="364"/>
      <c r="AY567" s="1202"/>
      <c r="AZ567" s="1202"/>
      <c r="BX567" s="5"/>
      <c r="BY567" s="5"/>
      <c r="CD567" s="5"/>
      <c r="CE567" s="5"/>
      <c r="CF567" s="5"/>
      <c r="CG567" s="5"/>
      <c r="CJ567" s="5"/>
    </row>
    <row r="568" spans="1:96" ht="15" customHeight="1">
      <c r="A568" s="5"/>
      <c r="B568" s="5"/>
      <c r="C568" s="125"/>
      <c r="D568" s="125"/>
      <c r="E568" s="296"/>
      <c r="F568" s="296"/>
      <c r="G568" s="296"/>
      <c r="H568" s="296"/>
      <c r="I568" s="296"/>
      <c r="J568" s="296"/>
      <c r="K568" s="300"/>
      <c r="L568" s="300"/>
      <c r="M568" s="296"/>
      <c r="N568" s="301"/>
      <c r="O568" s="301"/>
      <c r="P568" s="301"/>
      <c r="Q568" s="301"/>
      <c r="R568" s="296"/>
      <c r="S568" s="302"/>
      <c r="T568" s="302"/>
      <c r="U568" s="302"/>
      <c r="V568" s="301"/>
      <c r="W568" s="125"/>
      <c r="X568" s="347"/>
      <c r="Y568" s="347"/>
      <c r="Z568" s="347"/>
      <c r="AA568" s="348"/>
      <c r="AB568" s="349"/>
      <c r="AC568" s="5"/>
      <c r="AI568" s="378">
        <v>0</v>
      </c>
      <c r="AJ568" s="294">
        <f>+H521</f>
        <v>1.7599999999999998</v>
      </c>
      <c r="AK568" s="295">
        <f>0.0111*AI562+0.0889</f>
        <v>9.7114000000000006E-2</v>
      </c>
      <c r="AL568" s="380">
        <f>SLOPE(AK568:AK569,AJ568:AJ569)</f>
        <v>0.51968179344752174</v>
      </c>
      <c r="AM568" s="284">
        <f>+AK568</f>
        <v>9.7114000000000006E-2</v>
      </c>
      <c r="AR568" s="727">
        <f>0.1+0.0111*(E521/B521-1)</f>
        <v>0.10390000000000001</v>
      </c>
      <c r="AS568" s="57"/>
      <c r="AT568" s="57"/>
      <c r="BX568" s="5"/>
      <c r="BY568" s="5"/>
      <c r="CD568" s="5"/>
      <c r="CE568" s="5"/>
      <c r="CF568" s="5"/>
      <c r="CG568" s="5"/>
    </row>
    <row r="569" spans="1:96" ht="15" customHeight="1">
      <c r="A569" s="5"/>
      <c r="B569" s="5"/>
      <c r="C569" s="125"/>
      <c r="D569" s="125"/>
      <c r="E569" s="296"/>
      <c r="F569" s="296"/>
      <c r="G569" s="296"/>
      <c r="H569" s="296"/>
      <c r="I569" s="296"/>
      <c r="J569" s="296"/>
      <c r="K569" s="300"/>
      <c r="L569" s="300"/>
      <c r="M569" s="296"/>
      <c r="N569" s="301"/>
      <c r="O569" s="301"/>
      <c r="P569" s="301"/>
      <c r="Q569" s="301"/>
      <c r="R569" s="296"/>
      <c r="S569" s="302"/>
      <c r="T569" s="302"/>
      <c r="U569" s="302"/>
      <c r="V569" s="301"/>
      <c r="W569" s="125"/>
      <c r="X569" s="347"/>
      <c r="Y569" s="347"/>
      <c r="Z569" s="347"/>
      <c r="AA569" s="348"/>
      <c r="AB569" s="349"/>
      <c r="AC569" s="5"/>
      <c r="AI569" s="383">
        <f>0.0556*AI562+0.444</f>
        <v>0.48514400000000002</v>
      </c>
      <c r="AJ569" s="384">
        <f>+AQ569</f>
        <v>2.7210749999999999</v>
      </c>
      <c r="AK569" s="384">
        <f>+AR569</f>
        <v>0.59656717963757711</v>
      </c>
      <c r="AL569" s="722">
        <f>SLOPE(AK569:AK570,AJ569:AJ570)</f>
        <v>-0.22665523258840878</v>
      </c>
      <c r="AM569" s="284">
        <f>+(AJ570-AJ568)*-AL569</f>
        <v>0.8143998572974821</v>
      </c>
      <c r="AQ569" s="57">
        <f>+B521*(0.5+0.0555*(E521/B521-1))+H521</f>
        <v>2.7210749999999999</v>
      </c>
      <c r="AR569" s="728">
        <f>0.5+0.1*SQRT((N521-Q521)/((H521+0.1*B521)*$AH$198))</f>
        <v>0.59656717963757711</v>
      </c>
      <c r="AS569" s="57"/>
      <c r="AT569" s="57"/>
      <c r="AX569" s="3"/>
      <c r="AZ569" s="5"/>
      <c r="BY569" s="5"/>
      <c r="CD569" s="5"/>
    </row>
    <row r="570" spans="1:96" ht="15" customHeight="1">
      <c r="A570" s="5"/>
      <c r="B570" s="5"/>
      <c r="C570" s="125" t="s">
        <v>540</v>
      </c>
      <c r="D570" s="125"/>
      <c r="E570" s="296"/>
      <c r="F570" s="296"/>
      <c r="G570" s="296"/>
      <c r="H570" s="296"/>
      <c r="I570" s="296"/>
      <c r="J570" s="296"/>
      <c r="K570" s="300"/>
      <c r="L570" s="300"/>
      <c r="M570" s="296"/>
      <c r="N570" s="301"/>
      <c r="O570" s="301"/>
      <c r="P570" s="301"/>
      <c r="Q570" s="301"/>
      <c r="R570" s="296"/>
      <c r="S570" s="302"/>
      <c r="T570" s="302"/>
      <c r="U570" s="302"/>
      <c r="V570" s="301"/>
      <c r="W570" s="125"/>
      <c r="X570" s="347"/>
      <c r="Y570" s="347"/>
      <c r="Z570" s="347"/>
      <c r="AA570" s="348"/>
      <c r="AB570" s="349"/>
      <c r="AC570" s="5"/>
      <c r="AI570" s="386">
        <f>0.2222*AI562+1.7778</f>
        <v>1.9422280000000001</v>
      </c>
      <c r="AJ570" s="387">
        <f>AI570*F5+AJ568</f>
        <v>5.3531218000000003</v>
      </c>
      <c r="AK570" s="387">
        <v>0</v>
      </c>
      <c r="AL570" s="388"/>
      <c r="AM570" s="389"/>
      <c r="AQ570" s="729">
        <f>+AQ569-H521</f>
        <v>0.96107500000000012</v>
      </c>
      <c r="AR570" s="57"/>
      <c r="AS570" s="57"/>
      <c r="AT570" s="57"/>
      <c r="AX570" s="3"/>
      <c r="AZ570" s="5"/>
      <c r="BY570" s="5"/>
    </row>
    <row r="571" spans="1:96" ht="15" customHeight="1">
      <c r="A571" s="5"/>
      <c r="B571" s="5"/>
      <c r="C571" s="1067" t="s">
        <v>373</v>
      </c>
      <c r="D571" s="1066" t="s">
        <v>90</v>
      </c>
      <c r="E571" s="1387" t="s">
        <v>374</v>
      </c>
      <c r="F571" s="1387"/>
      <c r="G571" s="1387"/>
      <c r="H571" s="1387"/>
      <c r="I571" s="1387"/>
      <c r="J571" s="353"/>
      <c r="K571" s="353"/>
      <c r="L571" s="353"/>
      <c r="M571" s="353"/>
      <c r="N571" s="301"/>
      <c r="O571" s="301"/>
      <c r="P571" s="354"/>
      <c r="Q571" s="300"/>
      <c r="R571" s="300"/>
      <c r="S571" s="302"/>
      <c r="T571" s="301"/>
      <c r="U571" s="125"/>
      <c r="V571" s="1376"/>
      <c r="W571" s="1505"/>
      <c r="X571" s="1505"/>
      <c r="Y571" s="1504"/>
      <c r="Z571" s="1504"/>
      <c r="AA571" s="85"/>
      <c r="AB571" s="5"/>
      <c r="AC571" s="5"/>
      <c r="AI571" s="278" t="s">
        <v>326</v>
      </c>
      <c r="AJ571" s="279" t="s">
        <v>308</v>
      </c>
      <c r="AK571" s="279" t="s">
        <v>309</v>
      </c>
      <c r="AL571" s="292" t="s">
        <v>310</v>
      </c>
      <c r="AM571" s="293" t="s">
        <v>311</v>
      </c>
      <c r="AQ571" s="57"/>
      <c r="AR571" s="57"/>
      <c r="AS571" s="57"/>
      <c r="AT571" s="57"/>
      <c r="AX571" s="3"/>
      <c r="AZ571" s="5"/>
    </row>
    <row r="572" spans="1:96" ht="15" customHeight="1">
      <c r="A572" s="5"/>
      <c r="B572" s="5"/>
      <c r="C572" s="1067"/>
      <c r="D572" s="1066"/>
      <c r="E572" s="1391" t="s">
        <v>573</v>
      </c>
      <c r="F572" s="1391"/>
      <c r="G572" s="1391"/>
      <c r="H572" s="1391"/>
      <c r="I572" s="1391"/>
      <c r="J572" s="300"/>
      <c r="K572" s="296"/>
      <c r="L572" s="356"/>
      <c r="M572" s="354"/>
      <c r="N572" s="301"/>
      <c r="O572" s="301"/>
      <c r="P572" s="296"/>
      <c r="Q572" s="300"/>
      <c r="R572" s="357"/>
      <c r="S572" s="300"/>
      <c r="T572" s="301"/>
      <c r="U572" s="125"/>
      <c r="V572" s="1376"/>
      <c r="W572" s="1505"/>
      <c r="X572" s="1505"/>
      <c r="Y572" s="1504"/>
      <c r="Z572" s="1504"/>
      <c r="AA572" s="85"/>
      <c r="AB572" s="5"/>
      <c r="AC572" s="5"/>
      <c r="AI572" s="281">
        <v>0</v>
      </c>
      <c r="AJ572" s="282">
        <f>+H521</f>
        <v>1.7599999999999998</v>
      </c>
      <c r="AK572" s="282">
        <v>0.2</v>
      </c>
      <c r="AL572" s="283">
        <f>SLOPE(AK572:AK573,AJ572:AJ573)</f>
        <v>0.20047673790382595</v>
      </c>
      <c r="AM572" s="284">
        <f>+AK572</f>
        <v>0.2</v>
      </c>
      <c r="AQ572" s="730">
        <f>+AK572</f>
        <v>0.2</v>
      </c>
      <c r="AR572" s="57"/>
      <c r="AS572" s="57"/>
      <c r="AT572" s="57"/>
      <c r="AX572" s="3"/>
      <c r="AZ572" s="5"/>
    </row>
    <row r="573" spans="1:96" ht="15" customHeight="1">
      <c r="A573" s="5"/>
      <c r="B573" s="5"/>
      <c r="C573" s="296"/>
      <c r="D573" s="297"/>
      <c r="E573" s="296"/>
      <c r="F573" s="296"/>
      <c r="G573" s="296"/>
      <c r="H573" s="296"/>
      <c r="I573" s="296"/>
      <c r="J573" s="300"/>
      <c r="K573" s="296"/>
      <c r="L573" s="356"/>
      <c r="M573" s="354"/>
      <c r="N573" s="301"/>
      <c r="O573" s="301"/>
      <c r="P573" s="296"/>
      <c r="Q573" s="300"/>
      <c r="R573" s="357"/>
      <c r="S573" s="300"/>
      <c r="T573" s="301"/>
      <c r="U573" s="125"/>
      <c r="V573" s="125"/>
      <c r="W573" s="355"/>
      <c r="X573" s="355"/>
      <c r="Y573" s="224"/>
      <c r="Z573" s="224"/>
      <c r="AA573" s="85"/>
      <c r="AB573" s="5"/>
      <c r="AC573" s="5"/>
      <c r="AI573" s="286">
        <v>1</v>
      </c>
      <c r="AJ573" s="282">
        <f>AI573*F5+AJ572</f>
        <v>3.61</v>
      </c>
      <c r="AK573" s="282">
        <f>+AR573</f>
        <v>0.57088196512207801</v>
      </c>
      <c r="AL573" s="283">
        <f>SLOPE(AK573:AK574,AJ573:AJ574)</f>
        <v>-0.10286161533731135</v>
      </c>
      <c r="AM573" s="284">
        <f>+(AJ574-AJ572)*-AL573</f>
        <v>0.76117595349610401</v>
      </c>
      <c r="AQ573" s="731">
        <f>+B521+H521</f>
        <v>3.61</v>
      </c>
      <c r="AR573" s="728">
        <f>0.5+0.1*SQRT((N521-Q521)/((H521+B521)*$AH$198))</f>
        <v>0.57088196512207801</v>
      </c>
      <c r="AS573" s="57"/>
      <c r="AT573" s="57"/>
      <c r="AX573" s="3"/>
      <c r="AZ573" s="5"/>
    </row>
    <row r="574" spans="1:96" ht="15" customHeight="1">
      <c r="A574" s="5"/>
      <c r="B574" s="5"/>
      <c r="C574" s="125"/>
      <c r="D574" s="296"/>
      <c r="E574" s="579" t="s">
        <v>572</v>
      </c>
      <c r="F574" s="582" t="s">
        <v>90</v>
      </c>
      <c r="G574" s="584" t="s">
        <v>564</v>
      </c>
      <c r="H574" s="580"/>
      <c r="I574" s="580"/>
      <c r="J574" s="579"/>
      <c r="K574" s="582" t="s">
        <v>90</v>
      </c>
      <c r="L574" s="579">
        <v>2</v>
      </c>
      <c r="M574" s="579" t="s">
        <v>180</v>
      </c>
      <c r="N574" s="879">
        <f>+G508/1000</f>
        <v>0.6</v>
      </c>
      <c r="O574" s="879"/>
      <c r="P574" s="580" t="s">
        <v>180</v>
      </c>
      <c r="Q574" s="879">
        <f>+TAN(RADIANS(Q92))</f>
        <v>0.99999999999999989</v>
      </c>
      <c r="R574" s="879"/>
      <c r="S574" s="583" t="s">
        <v>90</v>
      </c>
      <c r="T574" s="1235">
        <f>+L574*N574*Q574</f>
        <v>1.1999999999999997</v>
      </c>
      <c r="U574" s="1235"/>
      <c r="V574" s="125"/>
      <c r="W574" s="347"/>
      <c r="X574" s="347"/>
      <c r="Y574" s="347"/>
      <c r="Z574" s="348"/>
      <c r="AA574" s="348"/>
      <c r="AB574" s="5"/>
      <c r="AC574" s="5"/>
      <c r="AI574" s="288">
        <v>4</v>
      </c>
      <c r="AJ574" s="289">
        <f>AI574*F5+AJ572</f>
        <v>9.16</v>
      </c>
      <c r="AK574" s="289">
        <v>0</v>
      </c>
      <c r="AL574" s="304"/>
      <c r="AM574" s="305"/>
      <c r="AQ574" s="732">
        <f>+AQ573-H521</f>
        <v>1.85</v>
      </c>
      <c r="AR574" s="57"/>
      <c r="AS574" s="57"/>
      <c r="AT574" s="57"/>
      <c r="AX574" s="3"/>
      <c r="AZ574" s="5"/>
    </row>
    <row r="575" spans="1:96" ht="15" customHeight="1">
      <c r="A575" s="5"/>
      <c r="B575" s="5"/>
      <c r="C575" s="125"/>
      <c r="D575" s="296"/>
      <c r="E575" s="579"/>
      <c r="F575" s="582"/>
      <c r="G575" s="600" t="s">
        <v>581</v>
      </c>
      <c r="H575" s="580"/>
      <c r="I575" s="580"/>
      <c r="J575" s="579"/>
      <c r="K575" s="582"/>
      <c r="L575" s="579"/>
      <c r="M575" s="579"/>
      <c r="N575" s="580"/>
      <c r="O575" s="580"/>
      <c r="P575" s="580"/>
      <c r="Q575" s="580"/>
      <c r="R575" s="580"/>
      <c r="S575" s="583"/>
      <c r="T575" s="585"/>
      <c r="U575" s="585"/>
      <c r="V575" s="125"/>
      <c r="W575" s="347"/>
      <c r="X575" s="347"/>
      <c r="Y575" s="347"/>
      <c r="Z575" s="348"/>
      <c r="AA575" s="348"/>
      <c r="AB575" s="5"/>
      <c r="AC575" s="5"/>
      <c r="AQ575" s="57"/>
      <c r="AR575" s="57"/>
      <c r="AS575" s="57"/>
      <c r="AT575" s="57"/>
      <c r="AX575" s="3"/>
      <c r="AZ575" s="5"/>
      <c r="BX575" s="5"/>
    </row>
    <row r="576" spans="1:96" ht="15" customHeight="1">
      <c r="A576" s="5"/>
      <c r="B576" s="5"/>
      <c r="C576" s="125"/>
      <c r="D576" s="296"/>
      <c r="E576" s="579"/>
      <c r="F576" s="582"/>
      <c r="G576" s="584"/>
      <c r="H576" s="580"/>
      <c r="I576" s="580"/>
      <c r="J576" s="579"/>
      <c r="K576" s="582"/>
      <c r="L576" s="579"/>
      <c r="M576" s="579"/>
      <c r="N576" s="580"/>
      <c r="O576" s="580"/>
      <c r="P576" s="580"/>
      <c r="Q576" s="580"/>
      <c r="R576" s="580"/>
      <c r="S576" s="583"/>
      <c r="T576" s="585"/>
      <c r="U576" s="585"/>
      <c r="V576" s="125"/>
      <c r="W576" s="347"/>
      <c r="X576" s="347"/>
      <c r="Y576" s="347"/>
      <c r="Z576" s="348"/>
      <c r="AA576" s="348"/>
      <c r="AB576" s="5"/>
      <c r="AC576" s="5"/>
      <c r="AQ576" s="57"/>
      <c r="AR576" s="57"/>
      <c r="AS576" s="57"/>
      <c r="AT576" s="57"/>
      <c r="AX576" s="3"/>
      <c r="AZ576" s="5"/>
      <c r="BX576" s="5"/>
    </row>
    <row r="577" spans="1:76" ht="15" customHeight="1">
      <c r="A577" s="5"/>
      <c r="B577" s="5"/>
      <c r="C577" s="125"/>
      <c r="D577" s="1431" t="s">
        <v>90</v>
      </c>
      <c r="E577" s="359"/>
      <c r="H577" s="1551">
        <f>+L521</f>
        <v>150</v>
      </c>
      <c r="I577" s="1551"/>
      <c r="J577" s="1551"/>
      <c r="K577" s="1551"/>
      <c r="L577" s="361" t="s">
        <v>343</v>
      </c>
      <c r="M577" s="361" t="s">
        <v>357</v>
      </c>
      <c r="N577" s="1551">
        <f>+B521</f>
        <v>1.85</v>
      </c>
      <c r="O577" s="1551"/>
      <c r="P577" s="1551" t="s">
        <v>343</v>
      </c>
      <c r="Q577" s="1551"/>
      <c r="R577" s="1551">
        <f>+E521</f>
        <v>2.5</v>
      </c>
      <c r="S577" s="1551"/>
      <c r="T577" s="361" t="s">
        <v>328</v>
      </c>
      <c r="U577" s="487"/>
      <c r="V577" s="1376" t="s">
        <v>316</v>
      </c>
      <c r="W577" s="1432">
        <f>ROUND(H577*(N577*R577)/((F578+J578)*(P578+S578)),1)</f>
        <v>61.5</v>
      </c>
      <c r="X577" s="1432"/>
      <c r="Y577" s="1316" t="s">
        <v>474</v>
      </c>
      <c r="Z577" s="1316"/>
      <c r="AA577" s="348"/>
      <c r="AB577" s="5"/>
      <c r="AC577" s="5"/>
      <c r="AX577" s="3"/>
      <c r="AZ577" s="5"/>
      <c r="BX577" s="5"/>
    </row>
    <row r="578" spans="1:76" ht="15" customHeight="1">
      <c r="A578" s="5"/>
      <c r="B578" s="5"/>
      <c r="C578" s="125"/>
      <c r="D578" s="1428"/>
      <c r="E578" s="300" t="s">
        <v>357</v>
      </c>
      <c r="F578" s="1391">
        <f>+B521</f>
        <v>1.85</v>
      </c>
      <c r="G578" s="1391"/>
      <c r="H578" s="1067"/>
      <c r="I578" s="356" t="s">
        <v>248</v>
      </c>
      <c r="J578" s="1428">
        <f>+T574</f>
        <v>1.1999999999999997</v>
      </c>
      <c r="K578" s="1428"/>
      <c r="L578" s="301" t="s">
        <v>328</v>
      </c>
      <c r="M578" s="1429" t="s">
        <v>343</v>
      </c>
      <c r="N578" s="1429"/>
      <c r="O578" s="296" t="s">
        <v>357</v>
      </c>
      <c r="P578" s="1428">
        <f>+E521</f>
        <v>2.5</v>
      </c>
      <c r="Q578" s="1428"/>
      <c r="R578" s="357" t="s">
        <v>248</v>
      </c>
      <c r="S578" s="1428">
        <f>+T574</f>
        <v>1.1999999999999997</v>
      </c>
      <c r="T578" s="1428"/>
      <c r="U578" s="301" t="s">
        <v>328</v>
      </c>
      <c r="V578" s="1376"/>
      <c r="W578" s="1432"/>
      <c r="X578" s="1432"/>
      <c r="Y578" s="1316"/>
      <c r="Z578" s="1316"/>
      <c r="AA578" s="348"/>
      <c r="AB578" s="5"/>
      <c r="AC578" s="5"/>
      <c r="AK578" s="559"/>
      <c r="AS578" s="559"/>
      <c r="AX578" s="3"/>
      <c r="AZ578" s="5"/>
      <c r="BX578" s="5"/>
    </row>
    <row r="579" spans="1:76" ht="15" customHeight="1">
      <c r="A579" s="5"/>
      <c r="B579" s="5"/>
      <c r="C579" s="125"/>
      <c r="D579" s="300"/>
      <c r="E579" s="300"/>
      <c r="F579" s="296"/>
      <c r="G579" s="356"/>
      <c r="H579" s="300"/>
      <c r="I579" s="301"/>
      <c r="J579" s="301"/>
      <c r="K579" s="296"/>
      <c r="L579" s="300"/>
      <c r="M579" s="357"/>
      <c r="N579" s="300"/>
      <c r="O579" s="301"/>
      <c r="P579" s="125"/>
      <c r="Q579" s="125"/>
      <c r="R579" s="355"/>
      <c r="S579" s="355"/>
      <c r="T579" s="224"/>
      <c r="U579" s="224"/>
      <c r="V579" s="125"/>
      <c r="W579" s="347"/>
      <c r="X579" s="347"/>
      <c r="Y579" s="347"/>
      <c r="Z579" s="348"/>
      <c r="AA579" s="348"/>
      <c r="AB579" s="5"/>
      <c r="AC579" s="5"/>
      <c r="AK579" s="559"/>
      <c r="AM579" s="529"/>
      <c r="AS579" s="559"/>
      <c r="AX579" s="3"/>
      <c r="AZ579" s="5"/>
    </row>
    <row r="580" spans="1:76" ht="15" customHeight="1">
      <c r="A580" s="5"/>
      <c r="B580" s="5"/>
      <c r="C580" s="125"/>
      <c r="D580" s="303"/>
      <c r="E580" s="300"/>
      <c r="G580" s="356"/>
      <c r="H580" s="354"/>
      <c r="I580" s="301"/>
      <c r="J580" s="353"/>
      <c r="K580" s="353"/>
      <c r="L580" s="357"/>
      <c r="M580" s="353"/>
      <c r="N580" s="353"/>
      <c r="O580" s="301"/>
      <c r="P580" s="125"/>
      <c r="Q580" s="456"/>
      <c r="R580" s="721"/>
      <c r="S580" s="721"/>
      <c r="T580" s="96"/>
      <c r="U580" s="96"/>
      <c r="V580" s="125"/>
      <c r="W580" s="347"/>
      <c r="X580" s="347"/>
      <c r="Y580" s="347"/>
      <c r="Z580" s="348"/>
      <c r="AA580" s="348"/>
      <c r="AB580" s="5"/>
      <c r="AC580" s="5"/>
      <c r="AX580" s="3"/>
      <c r="AZ580" s="5"/>
    </row>
    <row r="581" spans="1:76" ht="15" customHeight="1">
      <c r="A581" s="5"/>
      <c r="B581" s="5"/>
      <c r="C581" s="125"/>
      <c r="D581" s="1067" t="s">
        <v>317</v>
      </c>
      <c r="E581" s="1377" t="s">
        <v>316</v>
      </c>
      <c r="F581" s="1067">
        <v>1</v>
      </c>
      <c r="G581" s="1067"/>
      <c r="H581" s="1067" t="s">
        <v>330</v>
      </c>
      <c r="I581" s="1428">
        <v>0.5</v>
      </c>
      <c r="J581" s="1428"/>
      <c r="K581" s="1067" t="s">
        <v>331</v>
      </c>
      <c r="L581" s="1387" t="s">
        <v>332</v>
      </c>
      <c r="M581" s="1387"/>
      <c r="N581" s="1387"/>
      <c r="O581" s="1387"/>
      <c r="P581" s="1387"/>
      <c r="Q581" s="1067" t="s">
        <v>324</v>
      </c>
      <c r="R581" s="296"/>
      <c r="S581" s="296" t="s">
        <v>333</v>
      </c>
      <c r="T581" s="296" t="s">
        <v>316</v>
      </c>
      <c r="U581" s="1067">
        <f>+Q521</f>
        <v>31.7</v>
      </c>
      <c r="V581" s="1067"/>
      <c r="W581" s="1067"/>
      <c r="X581" s="303" t="s">
        <v>334</v>
      </c>
      <c r="Y581" s="303"/>
      <c r="Z581" s="125"/>
      <c r="AA581" s="125"/>
      <c r="AB581" s="5"/>
      <c r="AC581" s="5"/>
      <c r="AX581" s="3"/>
      <c r="AZ581" s="5"/>
      <c r="BK581" s="13"/>
    </row>
    <row r="582" spans="1:76" ht="15" customHeight="1">
      <c r="A582" s="5"/>
      <c r="B582" s="5"/>
      <c r="C582" s="125"/>
      <c r="D582" s="1067"/>
      <c r="E582" s="1377"/>
      <c r="F582" s="1067"/>
      <c r="G582" s="1067"/>
      <c r="H582" s="1067"/>
      <c r="I582" s="1428"/>
      <c r="J582" s="1428"/>
      <c r="K582" s="1067"/>
      <c r="L582" s="1391" t="s">
        <v>377</v>
      </c>
      <c r="M582" s="1391"/>
      <c r="N582" s="296" t="s">
        <v>330</v>
      </c>
      <c r="O582" s="1391" t="s">
        <v>333</v>
      </c>
      <c r="P582" s="1391"/>
      <c r="Q582" s="1067"/>
      <c r="R582" s="296"/>
      <c r="S582" s="296" t="s">
        <v>377</v>
      </c>
      <c r="T582" s="296" t="s">
        <v>316</v>
      </c>
      <c r="U582" s="1432">
        <f>ROUND(+N521,0)</f>
        <v>62</v>
      </c>
      <c r="V582" s="1067"/>
      <c r="W582" s="1067"/>
      <c r="X582" s="303" t="s">
        <v>334</v>
      </c>
      <c r="Y582" s="303"/>
      <c r="Z582" s="125"/>
      <c r="AA582" s="125"/>
      <c r="AB582" s="5"/>
      <c r="AC582" s="5"/>
      <c r="AI582" s="560"/>
      <c r="AJ582" s="529"/>
      <c r="AX582" s="3"/>
      <c r="AZ582" s="5"/>
    </row>
    <row r="583" spans="1:76" ht="15" customHeight="1">
      <c r="A583" s="5"/>
      <c r="B583" s="5"/>
      <c r="C583" s="125"/>
      <c r="D583" s="296"/>
      <c r="E583" s="1376"/>
      <c r="F583" s="1067">
        <v>1</v>
      </c>
      <c r="G583" s="1067"/>
      <c r="H583" s="1066" t="s">
        <v>330</v>
      </c>
      <c r="I583" s="1067">
        <v>0.5</v>
      </c>
      <c r="J583" s="1067"/>
      <c r="K583" s="1067" t="s">
        <v>336</v>
      </c>
      <c r="L583" s="1387">
        <f>+Q521</f>
        <v>31.7</v>
      </c>
      <c r="M583" s="1387"/>
      <c r="N583" s="1387"/>
      <c r="O583" s="1387"/>
      <c r="P583" s="1387"/>
      <c r="Q583" s="1067" t="s">
        <v>324</v>
      </c>
      <c r="R583" s="296"/>
      <c r="S583" s="296"/>
      <c r="T583" s="1067" t="s">
        <v>316</v>
      </c>
      <c r="U583" s="1389">
        <f>ROUND(+F583-I583*(L583/(L584-O584)),2)</f>
        <v>0.47</v>
      </c>
      <c r="V583" s="1389"/>
      <c r="W583" s="1389"/>
      <c r="X583" s="1390"/>
      <c r="Y583" s="1390"/>
      <c r="Z583" s="125"/>
      <c r="AA583" s="125"/>
      <c r="AB583" s="5"/>
      <c r="AC583" s="5"/>
      <c r="AI583" s="561"/>
      <c r="AJ583" s="529"/>
      <c r="AX583" s="3"/>
      <c r="AZ583" s="5"/>
    </row>
    <row r="584" spans="1:76" ht="15" customHeight="1">
      <c r="A584" s="5"/>
      <c r="B584" s="5"/>
      <c r="C584" s="125"/>
      <c r="D584" s="296"/>
      <c r="E584" s="1376"/>
      <c r="F584" s="1067"/>
      <c r="G584" s="1067"/>
      <c r="H584" s="1066"/>
      <c r="I584" s="1067"/>
      <c r="J584" s="1067"/>
      <c r="K584" s="1067"/>
      <c r="L584" s="1563">
        <f>+N521</f>
        <v>61.5</v>
      </c>
      <c r="M584" s="1391"/>
      <c r="N584" s="296" t="s">
        <v>330</v>
      </c>
      <c r="O584" s="1391">
        <f>+Q521</f>
        <v>31.7</v>
      </c>
      <c r="P584" s="1391"/>
      <c r="Q584" s="1067"/>
      <c r="R584" s="296"/>
      <c r="S584" s="296"/>
      <c r="T584" s="1067"/>
      <c r="U584" s="1389"/>
      <c r="V584" s="1389"/>
      <c r="W584" s="1389"/>
      <c r="X584" s="1390"/>
      <c r="Y584" s="1390"/>
      <c r="Z584" s="125"/>
      <c r="AA584" s="125"/>
      <c r="AB584" s="5"/>
      <c r="AC584" s="5"/>
      <c r="AD584" s="5"/>
      <c r="AE584" s="5"/>
      <c r="AF584" s="5"/>
      <c r="AG584" s="5"/>
      <c r="AQ584" s="5"/>
      <c r="AR584" s="5"/>
      <c r="AS584" s="5"/>
      <c r="AT584" s="5"/>
      <c r="AU584" s="5"/>
      <c r="AV584" s="5"/>
      <c r="AX584" s="3"/>
      <c r="AZ584" s="5"/>
    </row>
    <row r="585" spans="1:76" ht="15" customHeight="1">
      <c r="A585" s="5"/>
      <c r="B585" s="5"/>
      <c r="C585" s="125"/>
      <c r="D585" s="1067" t="s">
        <v>318</v>
      </c>
      <c r="E585" s="1376" t="s">
        <v>316</v>
      </c>
      <c r="F585" s="1067">
        <v>1</v>
      </c>
      <c r="G585" s="1067"/>
      <c r="H585" s="1067" t="s">
        <v>337</v>
      </c>
      <c r="I585" s="1067">
        <v>0.2</v>
      </c>
      <c r="J585" s="1067"/>
      <c r="K585" s="1067"/>
      <c r="L585" s="1437" t="s">
        <v>338</v>
      </c>
      <c r="M585" s="1437"/>
      <c r="N585" s="1437" t="s">
        <v>331</v>
      </c>
      <c r="O585" s="1387">
        <v>30</v>
      </c>
      <c r="P585" s="1387"/>
      <c r="Q585" s="1387"/>
      <c r="R585" s="1067" t="s">
        <v>324</v>
      </c>
      <c r="S585" s="296"/>
      <c r="T585" s="1067" t="s">
        <v>316</v>
      </c>
      <c r="U585" s="1375">
        <f>1+0.2*LOG((O585/0.2))</f>
        <v>1.4352182518111363</v>
      </c>
      <c r="V585" s="1375"/>
      <c r="W585" s="1375"/>
      <c r="X585" s="296"/>
      <c r="Y585" s="296"/>
      <c r="Z585" s="125"/>
      <c r="AA585" s="125"/>
      <c r="AB585" s="5"/>
      <c r="AC585" s="5"/>
      <c r="AD585" s="5"/>
      <c r="AO585" s="274"/>
      <c r="AP585" s="274"/>
      <c r="AV585" s="5"/>
      <c r="AX585" s="3"/>
      <c r="AZ585" s="5"/>
    </row>
    <row r="586" spans="1:76" ht="15" customHeight="1">
      <c r="A586" s="5"/>
      <c r="B586" s="5"/>
      <c r="C586" s="125"/>
      <c r="D586" s="1067"/>
      <c r="E586" s="1376"/>
      <c r="F586" s="1067"/>
      <c r="G586" s="1067"/>
      <c r="H586" s="1067"/>
      <c r="I586" s="1067"/>
      <c r="J586" s="1067"/>
      <c r="K586" s="1067"/>
      <c r="L586" s="1437"/>
      <c r="M586" s="1437"/>
      <c r="N586" s="1437"/>
      <c r="O586" s="1391">
        <v>0.1</v>
      </c>
      <c r="P586" s="1391"/>
      <c r="Q586" s="1391"/>
      <c r="R586" s="1067"/>
      <c r="S586" s="296"/>
      <c r="T586" s="1067"/>
      <c r="U586" s="1375"/>
      <c r="V586" s="1375"/>
      <c r="W586" s="1375"/>
      <c r="X586" s="296"/>
      <c r="Y586" s="296"/>
      <c r="Z586" s="125"/>
      <c r="AA586" s="125"/>
      <c r="AB586" s="5"/>
      <c r="AC586" s="5"/>
      <c r="AD586" s="5"/>
      <c r="AK586" s="559"/>
      <c r="AS586" s="559"/>
      <c r="AV586" s="5"/>
      <c r="AX586" s="3"/>
      <c r="AZ586" s="5"/>
    </row>
    <row r="587" spans="1:76" ht="15" customHeight="1">
      <c r="C587" s="368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5"/>
      <c r="AD587" s="5"/>
      <c r="AM587" s="529"/>
      <c r="AV587" s="5"/>
      <c r="AX587" s="3"/>
      <c r="AZ587" s="5"/>
    </row>
    <row r="588" spans="1:76" ht="15" customHeight="1">
      <c r="C588" s="131" t="s">
        <v>524</v>
      </c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5"/>
      <c r="AD588" s="5"/>
      <c r="AE588" s="5"/>
      <c r="AF588" s="5"/>
      <c r="AG588" s="390"/>
      <c r="AQ588" s="391"/>
      <c r="AR588" s="391"/>
      <c r="AS588" s="391"/>
      <c r="AT588" s="287"/>
      <c r="AU588" s="5"/>
      <c r="AV588" s="5"/>
      <c r="AW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spans="1:76" ht="15" customHeight="1">
      <c r="C589" s="372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5"/>
      <c r="AD589" s="5"/>
      <c r="AE589" s="5"/>
      <c r="AF589" s="5"/>
      <c r="AG589" s="287"/>
      <c r="AQ589" s="287"/>
      <c r="AR589" s="287"/>
      <c r="AS589" s="287"/>
      <c r="AT589" s="287"/>
      <c r="AU589" s="5"/>
      <c r="AV589" s="5"/>
      <c r="AW589" s="5"/>
      <c r="AZ589" s="5"/>
      <c r="BA589" s="5"/>
    </row>
    <row r="590" spans="1:76" ht="15" customHeight="1">
      <c r="C590" s="369"/>
      <c r="D590" s="369" t="s">
        <v>379</v>
      </c>
      <c r="E590" s="373" t="s">
        <v>90</v>
      </c>
      <c r="F590" s="369"/>
      <c r="G590" s="369" t="s">
        <v>380</v>
      </c>
      <c r="H590" s="373" t="s">
        <v>248</v>
      </c>
      <c r="I590" s="372" t="s">
        <v>381</v>
      </c>
      <c r="J590" s="373" t="s">
        <v>90</v>
      </c>
      <c r="K590" s="85"/>
      <c r="L590" s="887">
        <f>+T512</f>
        <v>0.33</v>
      </c>
      <c r="M590" s="887"/>
      <c r="N590" s="373" t="s">
        <v>248</v>
      </c>
      <c r="O590" s="888">
        <f>+V556</f>
        <v>2.52</v>
      </c>
      <c r="P590" s="887"/>
      <c r="Q590" s="434" t="s">
        <v>248</v>
      </c>
      <c r="R590" s="889">
        <v>0</v>
      </c>
      <c r="S590" s="889"/>
      <c r="V590" s="164" t="s">
        <v>90</v>
      </c>
      <c r="W590" s="890">
        <f>+L590+O590+R590</f>
        <v>2.85</v>
      </c>
      <c r="X590" s="891"/>
      <c r="Y590" s="891"/>
      <c r="Z590" s="234" t="s">
        <v>382</v>
      </c>
      <c r="AA590" s="85"/>
      <c r="AB590" s="5"/>
      <c r="AD590" s="5"/>
      <c r="AE590" s="5"/>
      <c r="AF590" s="5"/>
      <c r="AG590" s="306"/>
      <c r="AQ590" s="287"/>
      <c r="AR590" s="287"/>
      <c r="AS590" s="287"/>
      <c r="AT590" s="287"/>
      <c r="AU590" s="5"/>
      <c r="AV590" s="5"/>
      <c r="AW590" s="5"/>
      <c r="AZ590" s="5"/>
      <c r="BA590" s="5"/>
    </row>
    <row r="591" spans="1:76" ht="15" customHeight="1">
      <c r="AB591" s="5"/>
      <c r="AD591" s="5"/>
      <c r="AE591" s="5"/>
      <c r="AF591" s="5"/>
      <c r="AG591" s="287"/>
      <c r="AQ591" s="287"/>
      <c r="AR591" s="287"/>
      <c r="AS591" s="287"/>
      <c r="AT591" s="287"/>
      <c r="AU591" s="5"/>
      <c r="AV591" s="5"/>
      <c r="AW591" s="5"/>
      <c r="AZ591" s="5"/>
      <c r="BA591" s="5"/>
    </row>
    <row r="592" spans="1:76" ht="15" customHeight="1"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240"/>
      <c r="AB592" s="5"/>
      <c r="AD592" s="5"/>
      <c r="AE592" s="5"/>
      <c r="AF592" s="5"/>
      <c r="AG592" s="5"/>
      <c r="AH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Z592" s="5"/>
      <c r="BA592" s="5"/>
    </row>
    <row r="593" spans="2:75" ht="15" customHeight="1"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240"/>
      <c r="AB593" s="5"/>
      <c r="AD593" s="5"/>
      <c r="AE593" s="5"/>
      <c r="AF593" s="5"/>
      <c r="AG593" s="5"/>
      <c r="AH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Z593" s="5"/>
      <c r="BA593" s="5"/>
    </row>
    <row r="594" spans="2:75" ht="15" customHeight="1"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240"/>
      <c r="AB594" s="5"/>
      <c r="AD594" s="5"/>
      <c r="AE594" s="5"/>
      <c r="AF594" s="5"/>
      <c r="AG594" s="5"/>
      <c r="AH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Z594" s="5"/>
      <c r="BA594" s="5"/>
      <c r="BB594" s="5"/>
      <c r="BC594" s="5"/>
      <c r="BD594" s="5"/>
      <c r="BE594" s="5"/>
      <c r="BF594" s="5"/>
      <c r="BG594" s="5"/>
    </row>
    <row r="595" spans="2:75" ht="15" customHeight="1">
      <c r="B595" s="641" t="s">
        <v>721</v>
      </c>
      <c r="C595" s="610"/>
      <c r="D595" s="610"/>
      <c r="E595" s="610"/>
      <c r="F595" s="610"/>
      <c r="G595" s="610"/>
      <c r="H595" s="610"/>
      <c r="I595" s="610"/>
      <c r="J595" s="610"/>
      <c r="K595" s="610"/>
      <c r="L595" s="610"/>
      <c r="M595" s="610"/>
      <c r="N595" s="610"/>
      <c r="O595" s="610"/>
      <c r="P595" s="610"/>
      <c r="Q595" s="610"/>
      <c r="R595" s="610"/>
      <c r="S595" s="610"/>
      <c r="T595" s="610"/>
      <c r="U595" s="610"/>
      <c r="V595" s="610"/>
      <c r="W595" s="610"/>
      <c r="X595" s="610"/>
      <c r="Y595" s="610"/>
      <c r="Z595" s="610"/>
      <c r="AA595" s="240"/>
      <c r="AB595" s="5"/>
      <c r="AD595" s="5"/>
      <c r="AE595" s="5"/>
      <c r="AF595" s="5"/>
      <c r="AG595" s="5"/>
      <c r="AH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Z595" s="5"/>
      <c r="BA595" s="5"/>
      <c r="BB595" s="5"/>
      <c r="BC595" s="5"/>
      <c r="BD595" s="5"/>
      <c r="BE595" s="5"/>
      <c r="BF595" s="5"/>
      <c r="BG595" s="5"/>
    </row>
    <row r="596" spans="2:75" ht="15" customHeight="1">
      <c r="B596" s="641"/>
      <c r="C596" s="610"/>
      <c r="D596" s="610"/>
      <c r="E596" s="610"/>
      <c r="F596" s="610"/>
      <c r="G596" s="610"/>
      <c r="H596" s="610"/>
      <c r="I596" s="610"/>
      <c r="J596" s="610"/>
      <c r="K596" s="610"/>
      <c r="L596" s="610"/>
      <c r="M596" s="610"/>
      <c r="N596" s="610"/>
      <c r="O596" s="610"/>
      <c r="P596" s="610"/>
      <c r="Q596" s="610"/>
      <c r="R596" s="610"/>
      <c r="S596" s="610"/>
      <c r="T596" s="610"/>
      <c r="U596" s="610"/>
      <c r="V596" s="610"/>
      <c r="W596" s="610"/>
      <c r="X596" s="610"/>
      <c r="Y596" s="610"/>
      <c r="Z596" s="610"/>
      <c r="AA596" s="240"/>
      <c r="AB596" s="5"/>
      <c r="AD596" s="5"/>
      <c r="AE596" s="5"/>
      <c r="AF596" s="5"/>
      <c r="AG596" s="5"/>
      <c r="AH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Z596" s="5"/>
      <c r="BA596" s="5"/>
      <c r="BB596" s="5"/>
      <c r="BC596" s="5"/>
      <c r="BD596" s="5"/>
      <c r="BE596" s="5"/>
      <c r="BF596" s="5"/>
      <c r="BG596" s="5"/>
    </row>
    <row r="597" spans="2:75" ht="15" customHeight="1">
      <c r="B597" s="610"/>
      <c r="C597" s="611" t="s">
        <v>707</v>
      </c>
      <c r="D597" s="611" t="s">
        <v>238</v>
      </c>
      <c r="E597" s="643" t="s">
        <v>722</v>
      </c>
      <c r="F597" s="643"/>
      <c r="G597" s="643"/>
      <c r="H597" s="643"/>
      <c r="I597" s="643"/>
      <c r="J597" s="643"/>
      <c r="K597" s="643"/>
      <c r="L597" s="674"/>
      <c r="M597" s="674"/>
      <c r="N597" s="674"/>
      <c r="O597" s="674"/>
      <c r="P597" s="674"/>
      <c r="Q597" s="610"/>
      <c r="R597" s="610"/>
      <c r="S597" s="610"/>
      <c r="T597" s="610"/>
      <c r="U597" s="610"/>
      <c r="V597" s="610"/>
      <c r="W597" s="610"/>
      <c r="X597" s="610"/>
      <c r="Y597" s="610"/>
      <c r="Z597" s="610"/>
      <c r="AA597" s="240"/>
      <c r="AB597" s="5"/>
      <c r="AD597" s="5"/>
      <c r="AE597" s="5"/>
      <c r="AF597" s="5"/>
      <c r="AG597" s="5"/>
      <c r="AH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Z597" s="5"/>
      <c r="BA597" s="5"/>
      <c r="BB597" s="5"/>
      <c r="BC597" s="5"/>
      <c r="BD597" s="5"/>
      <c r="BE597" s="5"/>
      <c r="BF597" s="5"/>
      <c r="BG597" s="5"/>
    </row>
    <row r="598" spans="2:75" ht="15" customHeight="1">
      <c r="B598" s="610"/>
      <c r="C598" s="611"/>
      <c r="D598" s="611" t="s">
        <v>601</v>
      </c>
      <c r="E598" s="894">
        <f>+N521-Q521</f>
        <v>29.8</v>
      </c>
      <c r="F598" s="894"/>
      <c r="G598" s="894"/>
      <c r="H598" s="611" t="s">
        <v>622</v>
      </c>
      <c r="I598" s="894">
        <f>+B521</f>
        <v>1.85</v>
      </c>
      <c r="J598" s="895"/>
      <c r="K598" s="646" t="s">
        <v>723</v>
      </c>
      <c r="L598" s="643" t="s">
        <v>724</v>
      </c>
      <c r="M598" s="896">
        <f>+BA556</f>
        <v>0.4</v>
      </c>
      <c r="N598" s="895"/>
      <c r="O598" s="675" t="s">
        <v>725</v>
      </c>
      <c r="P598" s="897">
        <f>+AY557</f>
        <v>8600</v>
      </c>
      <c r="Q598" s="897"/>
      <c r="R598" s="897"/>
      <c r="S598" s="611" t="s">
        <v>622</v>
      </c>
      <c r="T598" s="849">
        <f>T601</f>
        <v>0.97</v>
      </c>
      <c r="U598" s="848"/>
      <c r="V598" s="611" t="s">
        <v>601</v>
      </c>
      <c r="W598" s="860">
        <f>ROUND(E598*I598*(1-M598^2)/P598*T598*1000,1)</f>
        <v>5.2</v>
      </c>
      <c r="X598" s="860"/>
      <c r="Y598" s="610" t="s">
        <v>726</v>
      </c>
      <c r="Z598" s="610"/>
      <c r="AA598" s="240"/>
      <c r="AB598" s="5"/>
      <c r="AD598" s="5"/>
      <c r="AE598" s="5"/>
      <c r="AF598" s="5"/>
      <c r="AG598" s="5"/>
      <c r="AH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Z598" s="5"/>
      <c r="BA598" s="5"/>
      <c r="BB598" s="5"/>
      <c r="BC598" s="5"/>
      <c r="BD598" s="5"/>
      <c r="BE598" s="5"/>
      <c r="BF598" s="5"/>
      <c r="BG598" s="5"/>
    </row>
    <row r="599" spans="2:75" ht="26.25" customHeight="1">
      <c r="B599" s="610"/>
      <c r="C599" s="643"/>
      <c r="D599" s="610"/>
      <c r="E599" s="610"/>
      <c r="F599" s="610"/>
      <c r="G599" s="610"/>
      <c r="H599" s="610"/>
      <c r="I599" s="610"/>
      <c r="J599" s="610"/>
      <c r="K599" s="610"/>
      <c r="L599" s="610"/>
      <c r="M599" s="610"/>
      <c r="N599" s="610"/>
      <c r="O599" s="610"/>
      <c r="P599" s="610"/>
      <c r="Q599" s="610"/>
      <c r="R599" s="610"/>
      <c r="S599" s="610"/>
      <c r="T599" s="610"/>
      <c r="U599" s="610"/>
      <c r="V599" s="610"/>
      <c r="W599" s="610"/>
      <c r="X599" s="610"/>
      <c r="Y599" s="610"/>
      <c r="Z599" s="610"/>
      <c r="AA599" s="240"/>
      <c r="AB599" s="5"/>
      <c r="AD599" s="5"/>
      <c r="AE599" s="5"/>
      <c r="AF599" s="5"/>
      <c r="AG599" s="5"/>
      <c r="AH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Z599" s="5"/>
      <c r="BA599" s="5"/>
      <c r="BB599" s="5"/>
      <c r="BC599" s="5"/>
      <c r="BD599" s="5"/>
      <c r="BE599" s="5"/>
      <c r="BF599" s="5"/>
      <c r="BG599" s="5"/>
    </row>
    <row r="600" spans="2:75" ht="25.5" customHeight="1">
      <c r="B600" s="610"/>
      <c r="C600" s="674" t="s">
        <v>674</v>
      </c>
      <c r="D600" s="674"/>
      <c r="E600" s="644" t="s">
        <v>335</v>
      </c>
      <c r="F600" s="674" t="s">
        <v>727</v>
      </c>
      <c r="G600" s="643"/>
      <c r="H600" s="643"/>
      <c r="I600" s="610"/>
      <c r="J600" s="610"/>
      <c r="K600" s="610"/>
      <c r="L600" s="644"/>
      <c r="M600" s="644" t="s">
        <v>728</v>
      </c>
      <c r="N600" s="674" t="s">
        <v>729</v>
      </c>
      <c r="O600" s="610"/>
      <c r="P600" s="643"/>
      <c r="Q600" s="610"/>
      <c r="R600" s="610"/>
      <c r="S600" s="644" t="s">
        <v>730</v>
      </c>
      <c r="T600" s="674" t="s">
        <v>731</v>
      </c>
      <c r="U600" s="643"/>
      <c r="V600" s="643"/>
      <c r="W600" s="674"/>
      <c r="X600" s="610"/>
      <c r="Y600" s="610"/>
      <c r="Z600" s="610"/>
      <c r="AA600" s="240"/>
      <c r="AB600" s="5"/>
      <c r="AD600" s="5"/>
      <c r="AE600" s="5"/>
      <c r="AF600" s="5"/>
      <c r="AG600" s="5"/>
      <c r="AH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Z600" s="5"/>
      <c r="BA600" s="5"/>
      <c r="BB600" s="5"/>
      <c r="BC600" s="5"/>
      <c r="BD600" s="5"/>
      <c r="BE600" s="5"/>
      <c r="BF600" s="5"/>
      <c r="BG600" s="5"/>
    </row>
    <row r="601" spans="2:75" ht="25.5" customHeight="1">
      <c r="B601" s="610"/>
      <c r="C601" s="674"/>
      <c r="D601" s="674"/>
      <c r="E601" s="644" t="s">
        <v>732</v>
      </c>
      <c r="F601" s="674" t="s">
        <v>733</v>
      </c>
      <c r="G601" s="643"/>
      <c r="H601" s="643"/>
      <c r="I601" s="674"/>
      <c r="J601" s="674"/>
      <c r="K601" s="610"/>
      <c r="L601" s="644"/>
      <c r="M601" s="644" t="s">
        <v>734</v>
      </c>
      <c r="N601" s="674" t="s">
        <v>735</v>
      </c>
      <c r="O601" s="643"/>
      <c r="P601" s="610"/>
      <c r="Q601" s="674"/>
      <c r="R601" s="674"/>
      <c r="S601" s="644" t="s">
        <v>601</v>
      </c>
      <c r="T601" s="898">
        <f>IF(F5=J5,G607,IF(J5/F5=2,G608,IF(FJ5/F5=5,G609,IF(J5/F5=10,G610,IF(J5/F5&lt;17,ROUND(0.0011*(J5/F5)^3-0.0289*(J5/F5)^2+0.3189*(J5/F5)+0.5889,3),3)))))</f>
        <v>0.97</v>
      </c>
      <c r="U601" s="898"/>
      <c r="V601" s="898"/>
      <c r="W601" s="610"/>
      <c r="X601" s="610"/>
      <c r="Y601" s="610"/>
      <c r="Z601" s="610"/>
      <c r="AA601" s="240"/>
      <c r="AB601" s="5"/>
      <c r="AD601" s="5"/>
      <c r="AE601" s="5"/>
      <c r="AF601" s="5"/>
      <c r="AG601" s="5"/>
      <c r="AH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Z601" s="5"/>
      <c r="BA601" s="5"/>
      <c r="BB601" s="5"/>
      <c r="BC601" s="5"/>
      <c r="BD601" s="5"/>
      <c r="BE601" s="5"/>
      <c r="BF601" s="5"/>
      <c r="BG601" s="5"/>
    </row>
    <row r="602" spans="2:75" ht="25.5" customHeight="1">
      <c r="B602" s="610"/>
      <c r="C602" s="610"/>
      <c r="D602" s="643"/>
      <c r="E602" s="674"/>
      <c r="F602" s="674"/>
      <c r="G602" s="674"/>
      <c r="H602" s="643"/>
      <c r="I602" s="610"/>
      <c r="J602" s="674"/>
      <c r="K602" s="674"/>
      <c r="L602" s="644"/>
      <c r="M602" s="676"/>
      <c r="N602" s="676"/>
      <c r="O602" s="676"/>
      <c r="P602" s="610"/>
      <c r="Q602" s="610"/>
      <c r="R602" s="610"/>
      <c r="S602" s="610"/>
      <c r="T602" s="610"/>
      <c r="U602" s="610"/>
      <c r="V602" s="610"/>
      <c r="W602" s="610"/>
      <c r="X602" s="610"/>
      <c r="Y602" s="610"/>
      <c r="Z602" s="610"/>
      <c r="AA602" s="240"/>
      <c r="AB602" s="5"/>
      <c r="AD602" s="5"/>
      <c r="AE602" s="5"/>
      <c r="AF602" s="5"/>
      <c r="AG602" s="5"/>
      <c r="AH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Z602" s="5"/>
      <c r="BA602" s="5"/>
      <c r="BB602" s="5"/>
      <c r="BC602" s="5"/>
      <c r="BD602" s="5"/>
      <c r="BE602" s="5"/>
      <c r="BF602" s="5"/>
      <c r="BG602" s="5"/>
    </row>
    <row r="603" spans="2:75" ht="25.5" customHeight="1" thickBot="1">
      <c r="B603" s="610"/>
      <c r="C603" s="610" t="s">
        <v>736</v>
      </c>
      <c r="D603" s="610" t="s">
        <v>737</v>
      </c>
      <c r="E603" s="610"/>
      <c r="F603" s="610"/>
      <c r="G603" s="610"/>
      <c r="H603" s="610"/>
      <c r="I603" s="674"/>
      <c r="J603" s="674"/>
      <c r="K603" s="674"/>
      <c r="L603" s="674"/>
      <c r="M603" s="674"/>
      <c r="N603" s="674"/>
      <c r="O603" s="674"/>
      <c r="P603" s="674"/>
      <c r="Q603" s="610"/>
      <c r="R603" s="610"/>
      <c r="S603" s="610"/>
      <c r="T603" s="610"/>
      <c r="U603" s="610"/>
      <c r="V603" s="610"/>
      <c r="W603" s="610"/>
      <c r="X603" s="610"/>
      <c r="Y603" s="610"/>
      <c r="Z603" s="610"/>
      <c r="AA603" s="240"/>
      <c r="AB603" s="5"/>
      <c r="AD603" s="5"/>
      <c r="AE603" s="5"/>
      <c r="AF603" s="5"/>
      <c r="AG603" s="5"/>
      <c r="AH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Z603" s="5"/>
      <c r="BA603" s="5"/>
      <c r="BB603" s="5"/>
      <c r="BC603" s="5"/>
      <c r="BD603" s="5"/>
      <c r="BE603" s="5"/>
      <c r="BF603" s="5"/>
      <c r="BG603" s="5"/>
    </row>
    <row r="604" spans="2:75" ht="25.5" customHeight="1">
      <c r="B604" s="610"/>
      <c r="C604" s="899" t="s">
        <v>738</v>
      </c>
      <c r="D604" s="900"/>
      <c r="E604" s="900"/>
      <c r="F604" s="900"/>
      <c r="G604" s="903" t="s">
        <v>739</v>
      </c>
      <c r="H604" s="900"/>
      <c r="I604" s="900" t="s">
        <v>740</v>
      </c>
      <c r="J604" s="900"/>
      <c r="K604" s="900"/>
      <c r="L604" s="900"/>
      <c r="M604" s="900"/>
      <c r="N604" s="900"/>
      <c r="O604" s="900"/>
      <c r="P604" s="904"/>
      <c r="Q604" s="610"/>
      <c r="R604" s="610"/>
      <c r="S604" s="610"/>
      <c r="T604" s="610"/>
      <c r="U604" s="610"/>
      <c r="V604" s="610"/>
      <c r="W604" s="610"/>
      <c r="X604" s="610"/>
      <c r="Y604" s="610"/>
      <c r="Z604" s="610"/>
      <c r="AA604" s="240"/>
      <c r="AB604" s="5"/>
      <c r="AD604" s="5"/>
      <c r="AE604" s="5"/>
      <c r="AF604" s="5"/>
      <c r="AG604" s="5"/>
      <c r="AH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Z604" s="5"/>
      <c r="BA604" s="5"/>
      <c r="BB604" s="5"/>
      <c r="BC604" s="5"/>
      <c r="BD604" s="5"/>
      <c r="BE604" s="5"/>
      <c r="BF604" s="5"/>
      <c r="BG604" s="5"/>
      <c r="BO604" s="309"/>
      <c r="BP604" s="309"/>
      <c r="BQ604" s="309"/>
      <c r="BR604" s="309"/>
    </row>
    <row r="605" spans="2:75" ht="25.5" customHeight="1" thickBot="1">
      <c r="B605" s="610"/>
      <c r="C605" s="901"/>
      <c r="D605" s="902"/>
      <c r="E605" s="902"/>
      <c r="F605" s="902"/>
      <c r="G605" s="902"/>
      <c r="H605" s="902"/>
      <c r="I605" s="902" t="s">
        <v>741</v>
      </c>
      <c r="J605" s="902"/>
      <c r="K605" s="902" t="s">
        <v>742</v>
      </c>
      <c r="L605" s="902"/>
      <c r="M605" s="902" t="s">
        <v>743</v>
      </c>
      <c r="N605" s="902"/>
      <c r="O605" s="902" t="s">
        <v>744</v>
      </c>
      <c r="P605" s="905"/>
      <c r="Q605" s="610"/>
      <c r="R605" s="610"/>
      <c r="S605" s="610"/>
      <c r="T605" s="610"/>
      <c r="U605" s="610"/>
      <c r="V605" s="610"/>
      <c r="W605" s="610"/>
      <c r="X605" s="610"/>
      <c r="Y605" s="610"/>
      <c r="Z605" s="610"/>
      <c r="AA605" s="240"/>
      <c r="AB605" s="5"/>
      <c r="AD605" s="5"/>
      <c r="AE605" s="5"/>
      <c r="AF605" s="5"/>
      <c r="AG605" s="5"/>
      <c r="AH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Z605" s="5"/>
      <c r="BA605" s="5"/>
      <c r="BB605" s="5"/>
      <c r="BC605" s="5"/>
      <c r="BD605" s="5"/>
      <c r="BE605" s="5"/>
      <c r="BF605" s="5"/>
      <c r="BG605" s="5"/>
      <c r="BO605" s="309"/>
      <c r="BP605" s="309"/>
      <c r="BQ605" s="309"/>
      <c r="BR605" s="309"/>
      <c r="BS605" s="309"/>
      <c r="BT605" s="309"/>
      <c r="BU605" s="1430"/>
      <c r="BV605" s="309"/>
      <c r="BW605" s="309"/>
    </row>
    <row r="606" spans="2:75" ht="25.5" customHeight="1" thickTop="1">
      <c r="B606" s="610"/>
      <c r="C606" s="969" t="s">
        <v>745</v>
      </c>
      <c r="D606" s="970"/>
      <c r="E606" s="970"/>
      <c r="F606" s="970"/>
      <c r="G606" s="971">
        <v>0.78500000000000003</v>
      </c>
      <c r="H606" s="971"/>
      <c r="I606" s="971">
        <v>1</v>
      </c>
      <c r="J606" s="971"/>
      <c r="K606" s="971">
        <v>0.63700000000000001</v>
      </c>
      <c r="L606" s="971"/>
      <c r="M606" s="970" t="s">
        <v>746</v>
      </c>
      <c r="N606" s="970"/>
      <c r="O606" s="971">
        <v>0.84799999999999998</v>
      </c>
      <c r="P606" s="972"/>
      <c r="Q606" s="610"/>
      <c r="R606" s="610"/>
      <c r="S606" s="610"/>
      <c r="T606" s="610"/>
      <c r="U606" s="610"/>
      <c r="V606" s="610"/>
      <c r="W606" s="610"/>
      <c r="X606" s="610"/>
      <c r="Y606" s="610"/>
      <c r="Z606" s="610"/>
      <c r="AA606" s="240"/>
      <c r="AB606" s="5"/>
      <c r="AD606" s="5"/>
      <c r="AE606" s="5"/>
      <c r="AF606" s="5"/>
      <c r="AG606" s="5"/>
      <c r="AH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Z606" s="5"/>
      <c r="BA606" s="5"/>
      <c r="BB606" s="5"/>
      <c r="BC606" s="5"/>
      <c r="BD606" s="5"/>
      <c r="BE606" s="5"/>
      <c r="BF606" s="5"/>
      <c r="BG606" s="5"/>
      <c r="BS606" s="309"/>
      <c r="BT606" s="309"/>
      <c r="BU606" s="1430"/>
      <c r="BV606" s="309"/>
      <c r="BW606" s="309"/>
    </row>
    <row r="607" spans="2:75" ht="25.5" customHeight="1">
      <c r="B607" s="610"/>
      <c r="C607" s="973" t="s">
        <v>747</v>
      </c>
      <c r="D607" s="974"/>
      <c r="E607" s="974"/>
      <c r="F607" s="974"/>
      <c r="G607" s="975">
        <v>0.88</v>
      </c>
      <c r="H607" s="975"/>
      <c r="I607" s="975">
        <v>1.1200000000000001</v>
      </c>
      <c r="J607" s="975"/>
      <c r="K607" s="975">
        <v>0.76</v>
      </c>
      <c r="L607" s="975"/>
      <c r="M607" s="975">
        <v>0.56000000000000005</v>
      </c>
      <c r="N607" s="975"/>
      <c r="O607" s="975">
        <v>0.95</v>
      </c>
      <c r="P607" s="976"/>
      <c r="Q607" s="610"/>
      <c r="R607" s="610"/>
      <c r="S607" s="610"/>
      <c r="T607" s="610"/>
      <c r="U607" s="610"/>
      <c r="V607" s="610"/>
      <c r="W607" s="610"/>
      <c r="X607" s="610"/>
      <c r="Y607" s="610"/>
      <c r="Z607" s="610"/>
      <c r="AA607" s="240"/>
      <c r="AB607" s="5"/>
      <c r="AD607" s="5"/>
      <c r="AE607" s="5"/>
      <c r="AF607" s="5"/>
      <c r="AG607" s="5"/>
      <c r="AH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Z607" s="5"/>
      <c r="BA607" s="5"/>
      <c r="BB607" s="5"/>
      <c r="BC607" s="5"/>
      <c r="BD607" s="5"/>
      <c r="BE607" s="5"/>
      <c r="BF607" s="5"/>
      <c r="BG607" s="5"/>
    </row>
    <row r="608" spans="2:75" ht="15" customHeight="1">
      <c r="B608" s="610"/>
      <c r="C608" s="977" t="s">
        <v>748</v>
      </c>
      <c r="D608" s="974"/>
      <c r="E608" s="974" t="s">
        <v>749</v>
      </c>
      <c r="F608" s="974"/>
      <c r="G608" s="975">
        <v>1.1200000000000001</v>
      </c>
      <c r="H608" s="975"/>
      <c r="I608" s="975">
        <v>1.53</v>
      </c>
      <c r="J608" s="975"/>
      <c r="K608" s="975">
        <v>1.1200000000000001</v>
      </c>
      <c r="L608" s="975"/>
      <c r="M608" s="975">
        <v>0.76</v>
      </c>
      <c r="N608" s="975"/>
      <c r="O608" s="975">
        <v>1.3</v>
      </c>
      <c r="P608" s="976"/>
      <c r="Q608" s="610"/>
      <c r="R608" s="610"/>
      <c r="S608" s="610"/>
      <c r="T608" s="610"/>
      <c r="U608" s="610"/>
      <c r="V608" s="610"/>
      <c r="W608" s="610"/>
      <c r="X608" s="610"/>
      <c r="Y608" s="610"/>
      <c r="Z608" s="610"/>
      <c r="AA608" s="240"/>
      <c r="AB608" s="5"/>
      <c r="AD608" s="5"/>
      <c r="AE608" s="5"/>
      <c r="AF608" s="5"/>
      <c r="AG608" s="5"/>
      <c r="AH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Z608" s="5"/>
      <c r="BA608" s="5"/>
      <c r="BB608" s="5"/>
      <c r="BC608" s="5"/>
      <c r="BD608" s="5"/>
      <c r="BE608" s="5"/>
      <c r="BF608" s="5"/>
      <c r="BG608" s="5"/>
    </row>
    <row r="609" spans="2:59" ht="15" customHeight="1">
      <c r="B609" s="610"/>
      <c r="C609" s="973"/>
      <c r="D609" s="974"/>
      <c r="E609" s="974" t="s">
        <v>750</v>
      </c>
      <c r="F609" s="974"/>
      <c r="G609" s="975">
        <v>1.6</v>
      </c>
      <c r="H609" s="975"/>
      <c r="I609" s="975">
        <v>2.1</v>
      </c>
      <c r="J609" s="975"/>
      <c r="K609" s="975">
        <v>1.68</v>
      </c>
      <c r="L609" s="975"/>
      <c r="M609" s="975">
        <v>1.05</v>
      </c>
      <c r="N609" s="975"/>
      <c r="O609" s="975">
        <v>1.82</v>
      </c>
      <c r="P609" s="976"/>
      <c r="Q609" s="610"/>
      <c r="R609" s="610"/>
      <c r="S609" s="610"/>
      <c r="T609" s="610"/>
      <c r="U609" s="610"/>
      <c r="V609" s="610"/>
      <c r="W609" s="610"/>
      <c r="X609" s="610"/>
      <c r="Y609" s="610"/>
      <c r="Z609" s="610"/>
      <c r="AA609" s="240"/>
      <c r="AB609" s="5"/>
      <c r="AW609" s="5"/>
      <c r="AZ609" s="5"/>
      <c r="BA609" s="5"/>
      <c r="BB609" s="5"/>
      <c r="BC609" s="5"/>
      <c r="BD609" s="5"/>
      <c r="BE609" s="5"/>
      <c r="BF609" s="5"/>
      <c r="BG609" s="5"/>
    </row>
    <row r="610" spans="2:59" ht="15" customHeight="1" thickBot="1">
      <c r="B610" s="610"/>
      <c r="C610" s="978"/>
      <c r="D610" s="979"/>
      <c r="E610" s="979" t="s">
        <v>751</v>
      </c>
      <c r="F610" s="979"/>
      <c r="G610" s="980">
        <v>2</v>
      </c>
      <c r="H610" s="980"/>
      <c r="I610" s="980">
        <v>2.56</v>
      </c>
      <c r="J610" s="980"/>
      <c r="K610" s="980">
        <v>2.1</v>
      </c>
      <c r="L610" s="980"/>
      <c r="M610" s="980">
        <v>1.28</v>
      </c>
      <c r="N610" s="980"/>
      <c r="O610" s="980">
        <v>2.2400000000000002</v>
      </c>
      <c r="P610" s="981"/>
      <c r="Q610" s="610"/>
      <c r="R610" s="610"/>
      <c r="S610" s="610"/>
      <c r="T610" s="610"/>
      <c r="U610" s="610"/>
      <c r="V610" s="610"/>
      <c r="W610" s="610"/>
      <c r="X610" s="610"/>
      <c r="Y610" s="610"/>
      <c r="Z610" s="610"/>
      <c r="AA610" s="240"/>
      <c r="AB610" s="5"/>
      <c r="AW610" s="5"/>
      <c r="AZ610" s="5"/>
      <c r="BA610" s="5"/>
      <c r="BB610" s="5"/>
      <c r="BC610" s="5"/>
      <c r="BD610" s="5"/>
      <c r="BE610" s="5"/>
      <c r="BF610" s="5"/>
      <c r="BG610" s="5"/>
    </row>
    <row r="611" spans="2:59" ht="15" customHeight="1">
      <c r="B611" s="610"/>
      <c r="C611" s="615" t="s">
        <v>752</v>
      </c>
      <c r="D611" s="677"/>
      <c r="E611" s="677"/>
      <c r="F611" s="677"/>
      <c r="G611" s="677"/>
      <c r="H611" s="677"/>
      <c r="I611" s="677"/>
      <c r="J611" s="677"/>
      <c r="K611" s="677"/>
      <c r="L611" s="677"/>
      <c r="M611" s="677"/>
      <c r="N611" s="677"/>
      <c r="O611" s="677"/>
      <c r="P611" s="677"/>
      <c r="Q611" s="610"/>
      <c r="R611" s="610"/>
      <c r="S611" s="610"/>
      <c r="T611" s="610"/>
      <c r="U611" s="610"/>
      <c r="V611" s="610"/>
      <c r="W611" s="610"/>
      <c r="X611" s="610"/>
      <c r="Y611" s="610"/>
      <c r="Z611" s="610"/>
      <c r="AA611" s="240"/>
      <c r="AB611" s="5"/>
      <c r="AW611" s="5"/>
      <c r="AZ611" s="5"/>
      <c r="BA611" s="5"/>
      <c r="BB611" s="5"/>
      <c r="BC611" s="5"/>
      <c r="BD611" s="5"/>
      <c r="BE611" s="5"/>
      <c r="BF611" s="5"/>
      <c r="BG611" s="5"/>
    </row>
    <row r="612" spans="2:59" ht="15" customHeight="1"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240"/>
      <c r="AW612" s="5"/>
      <c r="AZ612" s="5"/>
      <c r="BA612" s="5"/>
      <c r="BB612" s="5"/>
      <c r="BC612" s="5"/>
      <c r="BD612" s="5"/>
      <c r="BE612" s="5"/>
      <c r="BF612" s="5"/>
      <c r="BG612" s="5"/>
    </row>
    <row r="613" spans="2:59" ht="15" customHeight="1">
      <c r="C613" s="131" t="s">
        <v>524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240"/>
      <c r="AH613" s="579"/>
      <c r="AI613" s="582"/>
      <c r="AJ613" s="584"/>
      <c r="AK613" s="580"/>
      <c r="AL613" s="580"/>
      <c r="AM613" s="579"/>
      <c r="AN613" s="582"/>
      <c r="AO613" s="579"/>
      <c r="AP613" s="579"/>
      <c r="AQ613" s="666"/>
      <c r="AR613" s="666"/>
      <c r="AS613" s="580"/>
      <c r="AT613" s="666"/>
      <c r="AU613" s="666"/>
      <c r="AV613" s="583"/>
    </row>
    <row r="614" spans="2:59" ht="23.25" customHeight="1">
      <c r="C614" s="372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240"/>
      <c r="AD614" s="452"/>
      <c r="AE614" s="452"/>
      <c r="AF614" s="452"/>
      <c r="AG614" s="452"/>
      <c r="AH614" s="579"/>
      <c r="AI614" s="582"/>
      <c r="AJ614" s="600"/>
      <c r="AK614" s="580"/>
      <c r="AL614" s="580"/>
      <c r="AM614" s="579"/>
      <c r="AN614" s="582"/>
      <c r="AO614" s="579"/>
      <c r="AP614" s="579"/>
      <c r="AQ614" s="580"/>
      <c r="AR614" s="580"/>
      <c r="AS614" s="580"/>
      <c r="AT614" s="580"/>
      <c r="AU614" s="580"/>
      <c r="AV614" s="583"/>
    </row>
    <row r="615" spans="2:59" ht="15" customHeight="1">
      <c r="C615" s="369"/>
      <c r="D615" s="369" t="s">
        <v>379</v>
      </c>
      <c r="E615" s="373" t="s">
        <v>90</v>
      </c>
      <c r="F615" s="369"/>
      <c r="G615" s="369" t="s">
        <v>380</v>
      </c>
      <c r="H615" s="373" t="s">
        <v>248</v>
      </c>
      <c r="I615" s="372" t="s">
        <v>381</v>
      </c>
      <c r="J615" s="373" t="s">
        <v>90</v>
      </c>
      <c r="K615" s="85"/>
      <c r="L615" s="887">
        <f>+T512</f>
        <v>0.33</v>
      </c>
      <c r="M615" s="887"/>
      <c r="N615" s="373" t="s">
        <v>248</v>
      </c>
      <c r="O615" s="888">
        <f>+W598</f>
        <v>5.2</v>
      </c>
      <c r="P615" s="887"/>
      <c r="Q615" s="434" t="s">
        <v>248</v>
      </c>
      <c r="R615" s="889">
        <v>0</v>
      </c>
      <c r="S615" s="889"/>
      <c r="V615" s="164" t="s">
        <v>90</v>
      </c>
      <c r="W615" s="890">
        <f>+L615+O615+R615</f>
        <v>5.53</v>
      </c>
      <c r="X615" s="891"/>
      <c r="Y615" s="891"/>
      <c r="Z615" s="234" t="s">
        <v>382</v>
      </c>
      <c r="AA615" s="240"/>
      <c r="AD615" s="528"/>
      <c r="AE615" s="1555"/>
      <c r="AF615" s="1555"/>
      <c r="AG615" s="452"/>
      <c r="AH615" s="452"/>
      <c r="AI615" s="353"/>
      <c r="AL615" s="353"/>
      <c r="AM615" s="353"/>
      <c r="AN615" s="353"/>
      <c r="AO615" s="353"/>
      <c r="AP615" s="301"/>
      <c r="AQ615" s="301"/>
      <c r="AR615" s="353"/>
      <c r="AS615" s="353"/>
      <c r="AT615" s="353"/>
      <c r="AU615" s="353"/>
      <c r="AV615" s="353"/>
    </row>
    <row r="616" spans="2:59" ht="27.75" customHeight="1"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240"/>
      <c r="AI616" s="300"/>
      <c r="AJ616" s="353"/>
      <c r="AK616" s="125"/>
      <c r="AL616" s="125"/>
      <c r="AM616" s="356"/>
      <c r="AN616" s="353"/>
      <c r="AO616" s="353"/>
      <c r="AP616" s="301"/>
      <c r="AQ616" s="670"/>
      <c r="AR616" s="670"/>
      <c r="AS616" s="296"/>
      <c r="AT616" s="353"/>
      <c r="AU616" s="353"/>
      <c r="AV616" s="357"/>
      <c r="BC616" s="96"/>
      <c r="BD616" s="96"/>
    </row>
    <row r="617" spans="2:59" ht="27.75" customHeight="1" thickBot="1"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240"/>
      <c r="AW617" s="667"/>
      <c r="AX617" s="667"/>
      <c r="AZ617" s="668"/>
      <c r="BA617" s="668"/>
      <c r="BC617" s="96"/>
      <c r="BD617" s="96"/>
    </row>
    <row r="618" spans="2:59" ht="15" customHeight="1" thickBot="1">
      <c r="B618" s="648" t="s">
        <v>760</v>
      </c>
      <c r="C618" s="663"/>
      <c r="D618" s="648"/>
      <c r="E618" s="663"/>
      <c r="F618" s="663"/>
      <c r="G618" s="663"/>
      <c r="H618" s="663"/>
      <c r="I618" s="663"/>
      <c r="J618" s="663"/>
      <c r="K618" s="698"/>
      <c r="L618" s="698"/>
      <c r="M618" s="663"/>
      <c r="N618" s="663"/>
      <c r="O618" s="663"/>
      <c r="P618" s="663"/>
      <c r="Q618" s="663"/>
      <c r="R618" s="663"/>
      <c r="S618" s="663"/>
      <c r="T618" s="663"/>
      <c r="U618" s="663"/>
      <c r="V618" s="663"/>
      <c r="W618" s="663"/>
      <c r="X618" s="663"/>
      <c r="Y618" s="663"/>
      <c r="Z618" s="663"/>
      <c r="AA618" s="240"/>
      <c r="AB618" s="307"/>
      <c r="AW618" s="585"/>
      <c r="AX618" s="585"/>
    </row>
    <row r="619" spans="2:59" ht="15" customHeight="1" thickBot="1">
      <c r="B619" s="719"/>
      <c r="C619" s="720"/>
      <c r="D619" s="719"/>
      <c r="E619" s="720"/>
      <c r="F619" s="720"/>
      <c r="G619" s="615"/>
      <c r="H619" s="615"/>
      <c r="I619" s="615"/>
      <c r="J619" s="615"/>
      <c r="K619" s="699"/>
      <c r="L619" s="699"/>
      <c r="M619" s="615"/>
      <c r="N619" s="615"/>
      <c r="O619" s="615"/>
      <c r="P619" s="615"/>
      <c r="Q619" s="615"/>
      <c r="R619" s="615"/>
      <c r="S619" s="615"/>
      <c r="T619" s="615"/>
      <c r="U619" s="615"/>
      <c r="V619" s="615"/>
      <c r="W619" s="615"/>
      <c r="X619" s="615"/>
      <c r="Y619" s="615"/>
      <c r="Z619" s="647" t="s">
        <v>755</v>
      </c>
      <c r="AA619" s="240"/>
      <c r="AB619" s="308"/>
      <c r="AW619" s="353"/>
      <c r="AX619" s="301"/>
      <c r="AY619" s="3"/>
      <c r="AZ619" s="125"/>
      <c r="BA619" s="669"/>
      <c r="BB619" s="669"/>
    </row>
    <row r="620" spans="2:59" ht="26.25" customHeight="1" thickBot="1">
      <c r="B620" s="1564" t="s">
        <v>698</v>
      </c>
      <c r="C620" s="1564"/>
      <c r="D620" s="1564"/>
      <c r="E620" s="1564"/>
      <c r="F620" s="1565"/>
      <c r="G620" s="892" t="s">
        <v>756</v>
      </c>
      <c r="H620" s="892"/>
      <c r="I620" s="892"/>
      <c r="J620" s="892"/>
      <c r="K620" s="892" t="s">
        <v>757</v>
      </c>
      <c r="L620" s="892"/>
      <c r="M620" s="892"/>
      <c r="N620" s="892"/>
      <c r="O620" s="892" t="s">
        <v>758</v>
      </c>
      <c r="P620" s="892"/>
      <c r="Q620" s="892"/>
      <c r="R620" s="892"/>
      <c r="S620" s="892" t="s">
        <v>759</v>
      </c>
      <c r="T620" s="892"/>
      <c r="U620" s="892"/>
      <c r="V620" s="892"/>
      <c r="W620" s="892" t="s">
        <v>702</v>
      </c>
      <c r="X620" s="892"/>
      <c r="Y620" s="892"/>
      <c r="Z620" s="893"/>
      <c r="AA620" s="240"/>
      <c r="AB620" s="309"/>
      <c r="AW620" s="353"/>
      <c r="AX620" s="353"/>
      <c r="AY620" s="301"/>
      <c r="AZ620" s="125"/>
      <c r="BA620" s="669"/>
      <c r="BB620" s="669"/>
    </row>
    <row r="621" spans="2:59" ht="25.5" customHeight="1" thickTop="1" thickBot="1">
      <c r="B621" s="848" t="s">
        <v>705</v>
      </c>
      <c r="C621" s="848"/>
      <c r="D621" s="848"/>
      <c r="E621" s="848"/>
      <c r="F621" s="1436"/>
      <c r="G621" s="1506">
        <f>+W590</f>
        <v>2.85</v>
      </c>
      <c r="H621" s="1506"/>
      <c r="I621" s="1506"/>
      <c r="J621" s="1506"/>
      <c r="K621" s="1506">
        <f>+W615</f>
        <v>5.53</v>
      </c>
      <c r="L621" s="1506"/>
      <c r="M621" s="1506"/>
      <c r="N621" s="1506"/>
      <c r="O621" s="1506">
        <f>MAX(G621,K621)</f>
        <v>5.53</v>
      </c>
      <c r="P621" s="1506"/>
      <c r="Q621" s="1506"/>
      <c r="R621" s="1506"/>
      <c r="S621" s="1506">
        <v>25</v>
      </c>
      <c r="T621" s="1506"/>
      <c r="U621" s="1506"/>
      <c r="V621" s="1506"/>
      <c r="W621" s="1507" t="str">
        <f>IF(O621&lt;S621, "안     정", "불 안 정")</f>
        <v>안     정</v>
      </c>
      <c r="X621" s="1507"/>
      <c r="Y621" s="1507"/>
      <c r="Z621" s="1508"/>
      <c r="AA621" s="240"/>
      <c r="AB621" s="240"/>
      <c r="AX621" s="3"/>
      <c r="AY621" s="57"/>
      <c r="AZ621" s="57"/>
      <c r="BA621" s="665"/>
      <c r="BB621" s="665"/>
      <c r="BC621" s="665"/>
    </row>
    <row r="622" spans="2:59" ht="23.25" customHeight="1">
      <c r="B622" s="718"/>
      <c r="C622" s="717"/>
      <c r="D622" s="717"/>
      <c r="E622" s="717"/>
      <c r="F622" s="717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240"/>
      <c r="AB622" s="240"/>
      <c r="AX622" s="3"/>
      <c r="AY622" s="3"/>
    </row>
    <row r="623" spans="2:59" ht="24" customHeight="1"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240"/>
      <c r="AB623" s="240"/>
      <c r="AX623" s="3"/>
      <c r="AY623" s="3"/>
    </row>
    <row r="624" spans="2:59" ht="15" customHeight="1"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240"/>
      <c r="AX624" s="3"/>
      <c r="AY624" s="3"/>
    </row>
    <row r="625" spans="2:75" ht="24" customHeight="1">
      <c r="B625" s="1400" t="s">
        <v>339</v>
      </c>
      <c r="C625" s="1400"/>
      <c r="D625" s="1400"/>
      <c r="E625" s="1400"/>
      <c r="F625" s="1400"/>
      <c r="G625" s="1400"/>
      <c r="H625" s="1400"/>
      <c r="I625" s="1400"/>
      <c r="J625" s="1400"/>
      <c r="K625" s="1400"/>
      <c r="L625" s="1400"/>
      <c r="M625" s="1400"/>
      <c r="N625" s="1400"/>
      <c r="O625" s="1400"/>
      <c r="P625" s="1400"/>
      <c r="Q625" s="1400"/>
      <c r="R625" s="1400"/>
      <c r="S625" s="1401">
        <f>+O621</f>
        <v>5.53</v>
      </c>
      <c r="T625" s="1401"/>
      <c r="U625" s="1401"/>
      <c r="V625" s="1401"/>
      <c r="W625" s="1401"/>
      <c r="X625" s="1401"/>
      <c r="Y625" s="1401"/>
      <c r="Z625" s="1401"/>
      <c r="AA625" s="307"/>
      <c r="AX625" s="3"/>
      <c r="AY625" s="3"/>
    </row>
    <row r="626" spans="2:75" ht="15" customHeight="1">
      <c r="B626" s="1402" t="s">
        <v>340</v>
      </c>
      <c r="C626" s="1402"/>
      <c r="D626" s="1402"/>
      <c r="E626" s="1402"/>
      <c r="F626" s="1402"/>
      <c r="G626" s="1402"/>
      <c r="H626" s="1402"/>
      <c r="I626" s="1402"/>
      <c r="J626" s="1402"/>
      <c r="K626" s="1402"/>
      <c r="L626" s="1402"/>
      <c r="M626" s="1402"/>
      <c r="N626" s="1402"/>
      <c r="O626" s="1402"/>
      <c r="P626" s="1402"/>
      <c r="Q626" s="1402"/>
      <c r="R626" s="1402"/>
      <c r="S626" s="1403">
        <v>25</v>
      </c>
      <c r="T626" s="1403"/>
      <c r="U626" s="1403"/>
      <c r="V626" s="1403"/>
      <c r="W626" s="1403"/>
      <c r="X626" s="1403"/>
      <c r="Y626" s="1403"/>
      <c r="Z626" s="1403"/>
      <c r="AA626" s="308"/>
      <c r="AX626" s="3"/>
      <c r="AY626" s="3"/>
    </row>
    <row r="627" spans="2:75" ht="15" customHeight="1">
      <c r="B627" s="1404" t="s">
        <v>341</v>
      </c>
      <c r="C627" s="1404"/>
      <c r="D627" s="1404"/>
      <c r="E627" s="1404"/>
      <c r="F627" s="1404"/>
      <c r="G627" s="1404"/>
      <c r="H627" s="1404"/>
      <c r="I627" s="1404"/>
      <c r="J627" s="1404"/>
      <c r="K627" s="1404"/>
      <c r="L627" s="1404"/>
      <c r="M627" s="1404"/>
      <c r="N627" s="1404"/>
      <c r="O627" s="1404"/>
      <c r="P627" s="1404"/>
      <c r="Q627" s="1404"/>
      <c r="R627" s="1404"/>
      <c r="S627" s="1404" t="str">
        <f>IF(S625 &lt;= S626, "O.K", "N.G")</f>
        <v>O.K</v>
      </c>
      <c r="T627" s="1404"/>
      <c r="U627" s="1404"/>
      <c r="V627" s="1404"/>
      <c r="W627" s="1404"/>
      <c r="X627" s="1404"/>
      <c r="Y627" s="1404"/>
      <c r="Z627" s="1404"/>
      <c r="AA627" s="309"/>
      <c r="AX627" s="3"/>
      <c r="AY627" s="3"/>
    </row>
    <row r="628" spans="2:75" ht="15" customHeight="1"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X628" s="3"/>
      <c r="AY628" s="3"/>
    </row>
    <row r="629" spans="2:75" ht="15" customHeight="1"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X629" s="3"/>
      <c r="AY629" s="3"/>
    </row>
    <row r="630" spans="2:75" ht="26.25" customHeight="1">
      <c r="B630" s="396" t="str">
        <f>""&amp;입력!B4&amp;" - ("&amp;AC1&amp;") 검토결과"</f>
        <v>전북 전주시 완산구 상림동 596 다세대주택 신축공사 - (지상1층) 검토결과</v>
      </c>
      <c r="C630" s="287"/>
      <c r="D630" s="287"/>
      <c r="E630" s="287"/>
      <c r="F630" s="393"/>
      <c r="G630" s="287"/>
      <c r="H630" s="397"/>
      <c r="I630" s="397"/>
      <c r="J630" s="287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  <c r="V630" s="395"/>
      <c r="W630" s="395"/>
      <c r="X630" s="395"/>
      <c r="Y630" s="287"/>
      <c r="Z630" s="287"/>
      <c r="AX630" s="3"/>
      <c r="AY630" s="3"/>
      <c r="BU630" s="5"/>
      <c r="BV630" s="5"/>
      <c r="BW630" s="5"/>
    </row>
    <row r="631" spans="2:75" ht="15" customHeight="1">
      <c r="C631" s="287"/>
      <c r="D631" s="287"/>
      <c r="E631" s="287"/>
      <c r="F631" s="393"/>
      <c r="G631" s="287"/>
      <c r="H631" s="398"/>
      <c r="I631" s="398"/>
      <c r="J631" s="287"/>
      <c r="K631" s="395"/>
      <c r="L631" s="287"/>
      <c r="M631" s="287"/>
      <c r="N631" s="287"/>
      <c r="O631" s="399"/>
      <c r="P631" s="399"/>
      <c r="Q631" s="400"/>
      <c r="R631" s="400"/>
      <c r="S631" s="400"/>
      <c r="T631" s="399"/>
      <c r="U631" s="399"/>
      <c r="V631" s="399"/>
      <c r="W631" s="399"/>
      <c r="X631" s="399"/>
      <c r="Y631" s="287"/>
      <c r="Z631" s="287"/>
      <c r="AX631" s="3"/>
      <c r="AY631" s="3"/>
      <c r="BS631" s="5"/>
      <c r="BT631" s="5"/>
    </row>
    <row r="632" spans="2:75" ht="27.75" customHeight="1"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  <c r="V632" s="395"/>
      <c r="W632" s="395"/>
      <c r="X632" s="395"/>
      <c r="Y632" s="287"/>
      <c r="Z632" s="287"/>
      <c r="AX632" s="3"/>
      <c r="AY632" s="3"/>
      <c r="BS632" s="5"/>
      <c r="BT632" s="5"/>
    </row>
    <row r="633" spans="2:75" ht="27.75" customHeight="1">
      <c r="B633" s="401" t="s">
        <v>383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9"/>
      <c r="S633" s="9"/>
      <c r="T633" s="9"/>
      <c r="U633" s="9"/>
      <c r="V633" s="9"/>
      <c r="W633" s="9"/>
      <c r="X633" s="9"/>
      <c r="Y633" s="9"/>
      <c r="Z633" s="9"/>
      <c r="AX633" s="3"/>
      <c r="AY633" s="3"/>
      <c r="BS633" s="5"/>
      <c r="BT633" s="5"/>
    </row>
    <row r="634" spans="2:75" ht="15" customHeight="1">
      <c r="B634" s="1104" t="s">
        <v>4</v>
      </c>
      <c r="C634" s="1455"/>
      <c r="D634" s="1455"/>
      <c r="E634" s="1455"/>
      <c r="F634" s="1455"/>
      <c r="G634" s="1455" t="s">
        <v>5</v>
      </c>
      <c r="H634" s="1455"/>
      <c r="I634" s="1455"/>
      <c r="J634" s="1455"/>
      <c r="K634" s="1455"/>
      <c r="L634" s="1455"/>
      <c r="M634" s="1455"/>
      <c r="N634" s="1455"/>
      <c r="O634" s="1458" t="s">
        <v>6</v>
      </c>
      <c r="P634" s="1458"/>
      <c r="Q634" s="1458"/>
      <c r="R634" s="1458"/>
      <c r="S634" s="1458" t="s">
        <v>7</v>
      </c>
      <c r="T634" s="1458"/>
      <c r="U634" s="1458"/>
      <c r="V634" s="1458"/>
      <c r="W634" s="1458"/>
      <c r="X634" s="1500" t="s">
        <v>8</v>
      </c>
      <c r="Y634" s="1500"/>
      <c r="Z634" s="1501"/>
      <c r="AX634" s="3"/>
      <c r="AY634" s="3"/>
      <c r="BS634" s="5"/>
      <c r="BT634" s="5"/>
    </row>
    <row r="635" spans="2:75" ht="26.25" customHeight="1">
      <c r="B635" s="1456"/>
      <c r="C635" s="1457"/>
      <c r="D635" s="1457"/>
      <c r="E635" s="1457"/>
      <c r="F635" s="1457"/>
      <c r="G635" s="1560" t="s">
        <v>12</v>
      </c>
      <c r="H635" s="1560"/>
      <c r="I635" s="1560"/>
      <c r="J635" s="1560"/>
      <c r="K635" s="1560" t="s">
        <v>13</v>
      </c>
      <c r="L635" s="1560"/>
      <c r="M635" s="1560"/>
      <c r="N635" s="1560"/>
      <c r="O635" s="1560" t="s">
        <v>14</v>
      </c>
      <c r="P635" s="1560"/>
      <c r="Q635" s="1560"/>
      <c r="R635" s="1560"/>
      <c r="S635" s="1459" t="s">
        <v>15</v>
      </c>
      <c r="T635" s="1459"/>
      <c r="U635" s="1459"/>
      <c r="V635" s="1459"/>
      <c r="W635" s="1459"/>
      <c r="X635" s="1460" t="s">
        <v>16</v>
      </c>
      <c r="Y635" s="1460"/>
      <c r="Z635" s="1461"/>
      <c r="AX635" s="3"/>
      <c r="AY635" s="3"/>
      <c r="BS635" s="5"/>
      <c r="BT635" s="5"/>
    </row>
    <row r="636" spans="2:75" ht="31.5" customHeight="1">
      <c r="B636" s="1497" t="str">
        <f>B5</f>
        <v>BH-1</v>
      </c>
      <c r="C636" s="1498"/>
      <c r="D636" s="1498"/>
      <c r="E636" s="1498"/>
      <c r="F636" s="1498"/>
      <c r="G636" s="1499">
        <f>+F5</f>
        <v>1.85</v>
      </c>
      <c r="H636" s="1499"/>
      <c r="I636" s="1499"/>
      <c r="J636" s="1499"/>
      <c r="K636" s="1499">
        <f>+J5</f>
        <v>2.5</v>
      </c>
      <c r="L636" s="1499"/>
      <c r="M636" s="1499"/>
      <c r="N636" s="1499"/>
      <c r="O636" s="1499">
        <f>+N5</f>
        <v>1.1599999999999999</v>
      </c>
      <c r="P636" s="1499"/>
      <c r="Q636" s="1499"/>
      <c r="R636" s="1499"/>
      <c r="S636" s="1473">
        <f>+R5</f>
        <v>150</v>
      </c>
      <c r="T636" s="1473"/>
      <c r="U636" s="1473"/>
      <c r="V636" s="1473"/>
      <c r="W636" s="1473"/>
      <c r="X636" s="1453">
        <f>+V5</f>
        <v>2.72</v>
      </c>
      <c r="Y636" s="1453"/>
      <c r="Z636" s="1454"/>
      <c r="AX636" s="3"/>
      <c r="AY636" s="3"/>
      <c r="BS636" s="5"/>
      <c r="BT636" s="5"/>
    </row>
    <row r="637" spans="2:75" ht="30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9"/>
      <c r="S637" s="9"/>
      <c r="T637" s="9"/>
      <c r="U637" s="9"/>
      <c r="V637" s="9"/>
      <c r="W637" s="9"/>
      <c r="X637" s="9"/>
      <c r="Y637" s="9"/>
      <c r="Z637" s="9"/>
      <c r="AX637" s="3"/>
      <c r="AY637" s="3"/>
      <c r="BS637" s="5"/>
      <c r="BT637" s="5"/>
    </row>
    <row r="638" spans="2:75" ht="37.5" customHeight="1">
      <c r="B638" s="488" t="s">
        <v>477</v>
      </c>
      <c r="C638" s="488"/>
      <c r="D638" s="487"/>
      <c r="E638" s="487"/>
      <c r="F638" s="487"/>
      <c r="G638" s="487"/>
      <c r="H638" s="48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  <c r="T638" s="487"/>
      <c r="U638" s="487"/>
      <c r="V638" s="487"/>
      <c r="W638" s="487"/>
      <c r="X638" s="487"/>
      <c r="Y638" s="487"/>
      <c r="Z638" s="487"/>
      <c r="AX638" s="3"/>
      <c r="AY638" s="3"/>
      <c r="BS638" s="5"/>
      <c r="BT638" s="5"/>
    </row>
    <row r="639" spans="2:75" ht="27.75" customHeight="1">
      <c r="B639" s="1462" t="s">
        <v>143</v>
      </c>
      <c r="C639" s="1463"/>
      <c r="D639" s="1496" t="s">
        <v>490</v>
      </c>
      <c r="E639" s="1496"/>
      <c r="F639" s="1496"/>
      <c r="G639" s="1496"/>
      <c r="H639" s="1495" t="s">
        <v>488</v>
      </c>
      <c r="I639" s="1495"/>
      <c r="J639" s="1495"/>
      <c r="K639" s="1495"/>
      <c r="L639" s="1496" t="s">
        <v>487</v>
      </c>
      <c r="M639" s="1496"/>
      <c r="N639" s="1496"/>
      <c r="O639" s="1496"/>
      <c r="P639" s="1495" t="s">
        <v>867</v>
      </c>
      <c r="Q639" s="1495"/>
      <c r="R639" s="1495"/>
      <c r="S639" s="1495"/>
      <c r="T639" s="1495" t="s">
        <v>486</v>
      </c>
      <c r="U639" s="1495"/>
      <c r="V639" s="1495"/>
      <c r="W639" s="1495"/>
      <c r="X639" s="1561" t="s">
        <v>489</v>
      </c>
      <c r="Y639" s="1561"/>
      <c r="Z639" s="1562"/>
      <c r="AX639" s="3"/>
      <c r="AY639" s="3"/>
      <c r="BS639" s="5"/>
      <c r="BT639" s="5"/>
    </row>
    <row r="640" spans="2:75" ht="18.75" customHeight="1">
      <c r="B640" s="1469" t="str">
        <f>AC1</f>
        <v>지상1층</v>
      </c>
      <c r="C640" s="1470"/>
      <c r="D640" s="1470">
        <f>+G636</f>
        <v>1.85</v>
      </c>
      <c r="E640" s="1470"/>
      <c r="F640" s="1470"/>
      <c r="G640" s="1470"/>
      <c r="H640" s="1558">
        <f>+K636</f>
        <v>2.5</v>
      </c>
      <c r="I640" s="1558"/>
      <c r="J640" s="1558"/>
      <c r="K640" s="1558"/>
      <c r="L640" s="1470">
        <f>+O636+T640/1000</f>
        <v>1.7599999999999998</v>
      </c>
      <c r="M640" s="1470"/>
      <c r="N640" s="1470"/>
      <c r="O640" s="1470"/>
      <c r="P640" s="1556">
        <f>+S398</f>
        <v>61.5</v>
      </c>
      <c r="Q640" s="1556"/>
      <c r="R640" s="1556"/>
      <c r="S640" s="1556"/>
      <c r="T640" s="1557">
        <f>+T92</f>
        <v>600</v>
      </c>
      <c r="U640" s="1557"/>
      <c r="V640" s="1557"/>
      <c r="W640" s="1557"/>
      <c r="X640" s="1558">
        <f>+X92</f>
        <v>1</v>
      </c>
      <c r="Y640" s="1558"/>
      <c r="Z640" s="1559"/>
      <c r="AX640" s="3"/>
      <c r="AY640" s="3"/>
      <c r="BS640" s="5"/>
      <c r="BT640" s="5"/>
    </row>
    <row r="641" spans="2:75" ht="26.25" customHeight="1">
      <c r="B641" s="395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X641" s="3"/>
      <c r="AY641" s="3"/>
      <c r="BS641" s="5"/>
      <c r="BT641" s="5"/>
    </row>
    <row r="642" spans="2:75" ht="30.75" customHeight="1">
      <c r="B642" s="489" t="s">
        <v>386</v>
      </c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  <c r="N642" s="490"/>
      <c r="O642" s="490"/>
      <c r="P642" s="490"/>
      <c r="Q642" s="490"/>
      <c r="R642" s="490"/>
      <c r="S642" s="490"/>
      <c r="T642" s="490"/>
      <c r="U642" s="490"/>
      <c r="V642" s="490"/>
      <c r="W642" s="490"/>
      <c r="X642" s="490"/>
      <c r="Y642" s="490"/>
      <c r="Z642" s="490"/>
      <c r="AX642" s="3"/>
      <c r="AY642" s="3"/>
      <c r="BS642" s="5"/>
      <c r="BT642" s="5"/>
    </row>
    <row r="643" spans="2:75" ht="33" customHeight="1">
      <c r="B643" s="1479" t="s">
        <v>491</v>
      </c>
      <c r="C643" s="1480"/>
      <c r="D643" s="1480"/>
      <c r="E643" s="1472" t="s">
        <v>852</v>
      </c>
      <c r="F643" s="1472"/>
      <c r="G643" s="1472"/>
      <c r="H643" s="1472"/>
      <c r="I643" s="1472"/>
      <c r="J643" s="1472"/>
      <c r="K643" s="1481"/>
      <c r="L643" s="1482" t="s">
        <v>866</v>
      </c>
      <c r="M643" s="1472"/>
      <c r="N643" s="1472"/>
      <c r="O643" s="1472"/>
      <c r="P643" s="1472"/>
      <c r="Q643" s="1472"/>
      <c r="R643" s="1472" t="s">
        <v>494</v>
      </c>
      <c r="S643" s="1472"/>
      <c r="T643" s="1472"/>
      <c r="U643" s="1472"/>
      <c r="V643" s="1472"/>
      <c r="W643" s="1472"/>
      <c r="X643" s="1451" t="s">
        <v>56</v>
      </c>
      <c r="Y643" s="1451"/>
      <c r="Z643" s="1452"/>
      <c r="AX643" s="3"/>
      <c r="AY643" s="3"/>
      <c r="BS643" s="5"/>
      <c r="BT643" s="5"/>
    </row>
    <row r="644" spans="2:75" ht="28.5" customHeight="1">
      <c r="B644" s="1464">
        <f>+S636</f>
        <v>150</v>
      </c>
      <c r="C644" s="1465"/>
      <c r="D644" s="1465"/>
      <c r="E644" s="1466">
        <f>+S228</f>
        <v>87.8</v>
      </c>
      <c r="F644" s="1467"/>
      <c r="G644" s="1467"/>
      <c r="H644" s="1467"/>
      <c r="I644" s="1467"/>
      <c r="J644" s="1467"/>
      <c r="K644" s="1468"/>
      <c r="L644" s="1471">
        <f>+X97</f>
        <v>61.5</v>
      </c>
      <c r="M644" s="1467"/>
      <c r="N644" s="1467"/>
      <c r="O644" s="1467"/>
      <c r="P644" s="1467"/>
      <c r="Q644" s="1467"/>
      <c r="R644" s="1466">
        <f>+Q394</f>
        <v>92.8</v>
      </c>
      <c r="S644" s="1467"/>
      <c r="T644" s="1467"/>
      <c r="U644" s="1467"/>
      <c r="V644" s="1467"/>
      <c r="W644" s="1467"/>
      <c r="X644" s="1493"/>
      <c r="Y644" s="1493"/>
      <c r="Z644" s="1494"/>
      <c r="AX644" s="3"/>
      <c r="AY644" s="3"/>
      <c r="BS644" s="5"/>
      <c r="BT644" s="5"/>
    </row>
    <row r="645" spans="2:75" ht="26.25" customHeight="1">
      <c r="B645" s="1474" t="s">
        <v>476</v>
      </c>
      <c r="C645" s="1475"/>
      <c r="D645" s="1475"/>
      <c r="E645" s="1476" t="str">
        <f>+IF(E644&gt;B644,"O.K","N.G")</f>
        <v>N.G</v>
      </c>
      <c r="F645" s="1476"/>
      <c r="G645" s="1476"/>
      <c r="H645" s="1476"/>
      <c r="I645" s="1476"/>
      <c r="J645" s="1476"/>
      <c r="K645" s="1477"/>
      <c r="L645" s="1478" t="str">
        <f>B645</f>
        <v>판  정</v>
      </c>
      <c r="M645" s="1476"/>
      <c r="N645" s="1476"/>
      <c r="O645" s="1476"/>
      <c r="P645" s="1476"/>
      <c r="Q645" s="1476"/>
      <c r="R645" s="1476" t="str">
        <f>+IF(R644&gt;L644,"O.K","N.G")</f>
        <v>O.K</v>
      </c>
      <c r="S645" s="1476"/>
      <c r="T645" s="1476"/>
      <c r="U645" s="1476"/>
      <c r="V645" s="1476"/>
      <c r="W645" s="1476"/>
      <c r="X645" s="1443"/>
      <c r="Y645" s="1443"/>
      <c r="Z645" s="1444"/>
      <c r="AX645" s="3"/>
      <c r="AY645" s="3"/>
      <c r="BS645" s="5"/>
      <c r="BT645" s="5"/>
    </row>
    <row r="646" spans="2:75" ht="26.25" customHeight="1">
      <c r="B646" s="395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BS646" s="5"/>
      <c r="BT646" s="5"/>
    </row>
    <row r="647" spans="2:75" ht="29.25" customHeight="1">
      <c r="B647" s="489" t="s">
        <v>390</v>
      </c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  <c r="N647" s="490"/>
      <c r="O647" s="490"/>
      <c r="P647" s="490"/>
      <c r="Q647" s="490"/>
      <c r="R647" s="490"/>
      <c r="S647" s="490"/>
      <c r="T647" s="490"/>
      <c r="U647" s="490"/>
      <c r="V647" s="490"/>
      <c r="W647" s="490"/>
      <c r="X647" s="490"/>
      <c r="Y647" s="287"/>
      <c r="Z647" s="287"/>
      <c r="BS647" s="5"/>
      <c r="BT647" s="5"/>
    </row>
    <row r="648" spans="2:75" ht="30" customHeight="1">
      <c r="B648" s="1445" t="s">
        <v>493</v>
      </c>
      <c r="C648" s="1445"/>
      <c r="D648" s="1445"/>
      <c r="E648" s="1445"/>
      <c r="F648" s="1445"/>
      <c r="G648" s="1446"/>
      <c r="H648" s="1447" t="s">
        <v>492</v>
      </c>
      <c r="I648" s="1448"/>
      <c r="J648" s="1448"/>
      <c r="K648" s="1448"/>
      <c r="L648" s="1448"/>
      <c r="M648" s="1448"/>
      <c r="N648" s="1448"/>
      <c r="O648" s="1449"/>
      <c r="P648" s="1447" t="s">
        <v>495</v>
      </c>
      <c r="Q648" s="1448"/>
      <c r="R648" s="1448"/>
      <c r="S648" s="1448"/>
      <c r="T648" s="1448"/>
      <c r="U648" s="1448"/>
      <c r="V648" s="1449"/>
      <c r="W648" s="1450" t="s">
        <v>56</v>
      </c>
      <c r="X648" s="1450"/>
      <c r="Y648" s="1451"/>
      <c r="Z648" s="1452"/>
      <c r="BS648" s="5"/>
      <c r="BT648" s="5"/>
    </row>
    <row r="649" spans="2:75" ht="33.75" customHeight="1">
      <c r="B649" s="1483">
        <v>25.4</v>
      </c>
      <c r="C649" s="1483"/>
      <c r="D649" s="1483"/>
      <c r="E649" s="1483"/>
      <c r="F649" s="1483"/>
      <c r="G649" s="1484"/>
      <c r="H649" s="1485">
        <f>+U487</f>
        <v>23.91</v>
      </c>
      <c r="I649" s="1486"/>
      <c r="J649" s="1486"/>
      <c r="K649" s="1486"/>
      <c r="L649" s="1486"/>
      <c r="M649" s="1486"/>
      <c r="N649" s="1486"/>
      <c r="O649" s="1487"/>
      <c r="P649" s="1488">
        <f>+S625</f>
        <v>5.53</v>
      </c>
      <c r="Q649" s="1489"/>
      <c r="R649" s="1489"/>
      <c r="S649" s="1489"/>
      <c r="T649" s="1489"/>
      <c r="U649" s="1489"/>
      <c r="V649" s="1490"/>
      <c r="W649" s="1491"/>
      <c r="X649" s="1491"/>
      <c r="Y649" s="1491"/>
      <c r="Z649" s="1492"/>
      <c r="BS649" s="5"/>
      <c r="BT649" s="5"/>
    </row>
    <row r="650" spans="2:75" ht="36" customHeight="1">
      <c r="B650" s="1438" t="s">
        <v>476</v>
      </c>
      <c r="C650" s="1438"/>
      <c r="D650" s="1438"/>
      <c r="E650" s="1438"/>
      <c r="F650" s="1438"/>
      <c r="G650" s="1439"/>
      <c r="H650" s="1440" t="str">
        <f>+IF(H649&lt;B649,"O.K","N.G")</f>
        <v>O.K</v>
      </c>
      <c r="I650" s="1441"/>
      <c r="J650" s="1441"/>
      <c r="K650" s="1441"/>
      <c r="L650" s="1441"/>
      <c r="M650" s="1441"/>
      <c r="N650" s="1441"/>
      <c r="O650" s="1442"/>
      <c r="P650" s="1440" t="str">
        <f>+IF(P649&lt;B649,"O.K","N.G")</f>
        <v>O.K</v>
      </c>
      <c r="Q650" s="1441"/>
      <c r="R650" s="1441"/>
      <c r="S650" s="1441"/>
      <c r="T650" s="1441"/>
      <c r="U650" s="1441"/>
      <c r="V650" s="1442"/>
      <c r="W650" s="1443"/>
      <c r="X650" s="1443"/>
      <c r="Y650" s="1443"/>
      <c r="Z650" s="1444"/>
      <c r="BS650" s="5"/>
      <c r="BT650" s="5"/>
    </row>
    <row r="651" spans="2:75" ht="30" customHeight="1">
      <c r="B651" s="395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BS651" s="5"/>
      <c r="BT651" s="5"/>
    </row>
    <row r="652" spans="2:75" ht="18.75" customHeight="1">
      <c r="B652" s="395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BS652" s="5"/>
      <c r="BT652" s="5"/>
    </row>
    <row r="653" spans="2:75" ht="18.75" customHeight="1">
      <c r="BS653" s="5"/>
      <c r="BT653" s="5"/>
    </row>
    <row r="654" spans="2:75" ht="30.75" customHeight="1">
      <c r="BS654" s="5"/>
      <c r="BT654" s="5"/>
    </row>
    <row r="655" spans="2:75" ht="30.75" customHeight="1">
      <c r="BS655" s="5"/>
      <c r="BT655" s="5"/>
    </row>
    <row r="656" spans="2:75" ht="28.5" customHeight="1">
      <c r="BS656" s="5"/>
      <c r="BT656" s="5"/>
      <c r="BU656" s="5"/>
      <c r="BV656" s="5"/>
      <c r="BW656" s="5"/>
    </row>
    <row r="657" spans="65:75" ht="28.5" customHeight="1">
      <c r="BO657" s="5"/>
      <c r="BP657" s="5"/>
      <c r="BQ657" s="5"/>
      <c r="BR657" s="5"/>
      <c r="BS657" s="5"/>
      <c r="BT657" s="5"/>
      <c r="BU657" s="5"/>
      <c r="BV657" s="5"/>
      <c r="BW657" s="5"/>
    </row>
    <row r="658" spans="65:75" ht="28.5" customHeight="1">
      <c r="BO658" s="5"/>
      <c r="BP658" s="5"/>
      <c r="BQ658" s="5"/>
      <c r="BR658" s="5"/>
      <c r="BS658" s="5"/>
      <c r="BT658" s="5"/>
      <c r="BU658" s="5"/>
      <c r="BV658" s="5"/>
      <c r="BW658" s="5"/>
    </row>
    <row r="659" spans="65:75" ht="15" customHeight="1">
      <c r="BO659" s="5"/>
      <c r="BP659" s="5"/>
      <c r="BQ659" s="5"/>
      <c r="BR659" s="5"/>
      <c r="BS659" s="5"/>
      <c r="BT659" s="5"/>
      <c r="BU659" s="5"/>
      <c r="BV659" s="5"/>
      <c r="BW659" s="5"/>
    </row>
    <row r="660" spans="65:75" ht="24.75" customHeight="1">
      <c r="BO660" s="5"/>
      <c r="BP660" s="5"/>
      <c r="BQ660" s="5"/>
      <c r="BR660" s="5"/>
      <c r="BS660" s="5"/>
      <c r="BT660" s="5"/>
      <c r="BU660" s="5"/>
      <c r="BV660" s="5"/>
      <c r="BW660" s="5"/>
    </row>
    <row r="661" spans="65:75" ht="22.5" customHeight="1">
      <c r="BO661" s="5"/>
      <c r="BP661" s="5"/>
      <c r="BQ661" s="5"/>
      <c r="BR661" s="5"/>
      <c r="BS661" s="5"/>
      <c r="BT661" s="5"/>
    </row>
    <row r="662" spans="65:75" ht="22.5" customHeight="1">
      <c r="BN662" s="5"/>
      <c r="BO662" s="5"/>
      <c r="BP662" s="5"/>
      <c r="BQ662" s="5"/>
      <c r="BR662" s="5"/>
      <c r="BS662" s="5"/>
      <c r="BT662" s="5"/>
    </row>
    <row r="663" spans="65:75" ht="22.5" customHeight="1">
      <c r="BN663" s="5"/>
      <c r="BO663" s="5"/>
      <c r="BP663" s="5"/>
      <c r="BQ663" s="5"/>
      <c r="BR663" s="5"/>
      <c r="BS663" s="5"/>
      <c r="BT663" s="5"/>
    </row>
    <row r="664" spans="65:75" ht="15" customHeight="1">
      <c r="BN664" s="5"/>
      <c r="BO664" s="5"/>
      <c r="BP664" s="5"/>
      <c r="BQ664" s="5"/>
      <c r="BR664" s="5"/>
      <c r="BS664" s="5"/>
      <c r="BT664" s="5"/>
    </row>
    <row r="665" spans="65:75" ht="15" customHeight="1">
      <c r="BN665" s="5"/>
      <c r="BO665" s="5"/>
      <c r="BP665" s="5"/>
      <c r="BQ665" s="5"/>
      <c r="BR665" s="5"/>
      <c r="BS665" s="5"/>
      <c r="BT665" s="5"/>
    </row>
    <row r="666" spans="65:75" ht="15" customHeight="1">
      <c r="BM666" s="5"/>
      <c r="BN666" s="5"/>
      <c r="BO666" s="5"/>
      <c r="BP666" s="5"/>
      <c r="BQ666" s="5"/>
      <c r="BR666" s="5"/>
    </row>
    <row r="667" spans="65:75" ht="15" customHeight="1">
      <c r="BM667" s="5"/>
      <c r="BN667" s="5"/>
      <c r="BO667" s="5"/>
      <c r="BP667" s="5"/>
      <c r="BQ667" s="5"/>
      <c r="BR667" s="5"/>
    </row>
    <row r="668" spans="65:75" ht="15" customHeight="1">
      <c r="BM668" s="5"/>
      <c r="BN668" s="5"/>
      <c r="BO668" s="5"/>
      <c r="BP668" s="5"/>
      <c r="BQ668" s="5"/>
      <c r="BR668" s="5"/>
    </row>
    <row r="669" spans="65:75" ht="15" customHeight="1">
      <c r="BM669" s="5"/>
      <c r="BN669" s="5"/>
    </row>
    <row r="670" spans="65:75" ht="15" customHeight="1">
      <c r="BM670" s="5"/>
      <c r="BN670" s="5"/>
    </row>
    <row r="671" spans="65:75" ht="15" customHeight="1">
      <c r="BM671" s="5"/>
      <c r="BN671" s="5"/>
    </row>
    <row r="672" spans="65:75" ht="15" customHeight="1">
      <c r="BM672" s="5"/>
      <c r="BN672" s="5"/>
      <c r="BS672" s="5"/>
      <c r="BT672" s="5"/>
    </row>
    <row r="673" spans="65:72" ht="15" customHeight="1">
      <c r="BM673" s="5"/>
      <c r="BN673" s="5"/>
      <c r="BS673" s="5"/>
      <c r="BT673" s="5"/>
    </row>
    <row r="674" spans="65:72" ht="15" customHeight="1">
      <c r="BM674" s="5"/>
      <c r="BS674" s="5"/>
      <c r="BT674" s="5"/>
    </row>
    <row r="675" spans="65:72" ht="15" customHeight="1">
      <c r="BM675" s="5"/>
      <c r="BS675" s="5"/>
      <c r="BT675" s="5"/>
    </row>
    <row r="676" spans="65:72" ht="15" customHeight="1">
      <c r="BM676" s="5"/>
      <c r="BS676" s="5"/>
      <c r="BT676" s="5"/>
    </row>
    <row r="677" spans="65:72" ht="15" customHeight="1">
      <c r="BM677" s="5"/>
      <c r="BS677" s="5"/>
      <c r="BT677" s="5"/>
    </row>
    <row r="678" spans="65:72" ht="18.75" customHeight="1">
      <c r="BS678" s="5"/>
      <c r="BT678" s="5"/>
    </row>
    <row r="679" spans="65:72" ht="18.75" customHeight="1">
      <c r="BS679" s="5"/>
      <c r="BT679" s="5"/>
    </row>
    <row r="680" spans="65:72" ht="28.5" customHeight="1">
      <c r="BS680" s="5"/>
      <c r="BT680" s="5"/>
    </row>
    <row r="681" spans="65:72" ht="15" customHeight="1">
      <c r="BS681" s="5"/>
      <c r="BT681" s="5"/>
    </row>
    <row r="683" spans="65:72" ht="31.5" customHeight="1"/>
    <row r="684" spans="65:72" ht="18.75" customHeight="1"/>
    <row r="685" spans="65:72" ht="18.75" customHeight="1"/>
    <row r="689" ht="33" customHeight="1"/>
    <row r="690" ht="24.75" customHeight="1"/>
    <row r="691" ht="24.75" customHeight="1"/>
    <row r="694" ht="17.25" customHeight="1"/>
    <row r="695" ht="26.25" customHeight="1"/>
    <row r="696" ht="26.25" customHeight="1"/>
    <row r="697" ht="26.25" customHeight="1"/>
    <row r="698" ht="17.25" customHeight="1"/>
  </sheetData>
  <mergeCells count="1906">
    <mergeCell ref="AC1:AE1"/>
    <mergeCell ref="B3:E4"/>
    <mergeCell ref="F3:M3"/>
    <mergeCell ref="N3:Q3"/>
    <mergeCell ref="R3:U3"/>
    <mergeCell ref="V3:Z3"/>
    <mergeCell ref="F4:I4"/>
    <mergeCell ref="J4:M4"/>
    <mergeCell ref="N4:Q4"/>
    <mergeCell ref="R4:U4"/>
    <mergeCell ref="AS6:AT6"/>
    <mergeCell ref="AS7:AT7"/>
    <mergeCell ref="AS8:AT8"/>
    <mergeCell ref="AD9:AE10"/>
    <mergeCell ref="AF9:AG10"/>
    <mergeCell ref="AI9:AK10"/>
    <mergeCell ref="AM9:AN9"/>
    <mergeCell ref="AO9:AO10"/>
    <mergeCell ref="AP9:AP10"/>
    <mergeCell ref="AR9:AR10"/>
    <mergeCell ref="V4:Z4"/>
    <mergeCell ref="AS4:AT5"/>
    <mergeCell ref="B5:E5"/>
    <mergeCell ref="F5:I5"/>
    <mergeCell ref="J5:M5"/>
    <mergeCell ref="N5:Q5"/>
    <mergeCell ref="R5:U5"/>
    <mergeCell ref="V5:Z5"/>
    <mergeCell ref="AU11:AY11"/>
    <mergeCell ref="AZ11:BD11"/>
    <mergeCell ref="BE11:BI11"/>
    <mergeCell ref="B12:C13"/>
    <mergeCell ref="D12:G13"/>
    <mergeCell ref="H12:J12"/>
    <mergeCell ref="K12:M12"/>
    <mergeCell ref="N12:O12"/>
    <mergeCell ref="P12:R12"/>
    <mergeCell ref="S12:T12"/>
    <mergeCell ref="AS9:AT9"/>
    <mergeCell ref="AM10:AN10"/>
    <mergeCell ref="AS10:AT10"/>
    <mergeCell ref="AD11:AE11"/>
    <mergeCell ref="AF11:AG11"/>
    <mergeCell ref="AM11:AN11"/>
    <mergeCell ref="AS11:AT11"/>
    <mergeCell ref="AS12:AT12"/>
    <mergeCell ref="AU12:AY15"/>
    <mergeCell ref="AZ12:BD12"/>
    <mergeCell ref="BE12:BI12"/>
    <mergeCell ref="H13:J13"/>
    <mergeCell ref="K13:M13"/>
    <mergeCell ref="N13:O13"/>
    <mergeCell ref="P13:R13"/>
    <mergeCell ref="S13:T13"/>
    <mergeCell ref="U13:W13"/>
    <mergeCell ref="U12:W12"/>
    <mergeCell ref="X12:Z13"/>
    <mergeCell ref="AC12:AC13"/>
    <mergeCell ref="AD12:AE12"/>
    <mergeCell ref="AF12:AG12"/>
    <mergeCell ref="AM12:AN12"/>
    <mergeCell ref="AD13:AE13"/>
    <mergeCell ref="AF13:AG13"/>
    <mergeCell ref="AM13:AN13"/>
    <mergeCell ref="AS14:AT14"/>
    <mergeCell ref="AZ14:BD14"/>
    <mergeCell ref="BE14:BI14"/>
    <mergeCell ref="B15:C15"/>
    <mergeCell ref="D15:E15"/>
    <mergeCell ref="F15:G15"/>
    <mergeCell ref="H15:J15"/>
    <mergeCell ref="K15:M15"/>
    <mergeCell ref="N15:O15"/>
    <mergeCell ref="P15:R15"/>
    <mergeCell ref="S14:T14"/>
    <mergeCell ref="U14:W14"/>
    <mergeCell ref="X14:Z14"/>
    <mergeCell ref="AD14:AE14"/>
    <mergeCell ref="AF14:AG14"/>
    <mergeCell ref="AM14:AN14"/>
    <mergeCell ref="AS13:AT13"/>
    <mergeCell ref="AZ13:BD13"/>
    <mergeCell ref="BE13:BI13"/>
    <mergeCell ref="B14:C14"/>
    <mergeCell ref="D14:E14"/>
    <mergeCell ref="F14:G14"/>
    <mergeCell ref="H14:J14"/>
    <mergeCell ref="K14:M14"/>
    <mergeCell ref="N14:O14"/>
    <mergeCell ref="P14:R14"/>
    <mergeCell ref="AS16:AT16"/>
    <mergeCell ref="AU16:AY16"/>
    <mergeCell ref="AZ16:BD16"/>
    <mergeCell ref="BE16:BI16"/>
    <mergeCell ref="B17:C17"/>
    <mergeCell ref="D17:E17"/>
    <mergeCell ref="F17:G17"/>
    <mergeCell ref="H17:J17"/>
    <mergeCell ref="K17:M17"/>
    <mergeCell ref="N17:O17"/>
    <mergeCell ref="S16:T16"/>
    <mergeCell ref="U16:W16"/>
    <mergeCell ref="X16:Z16"/>
    <mergeCell ref="AD16:AE16"/>
    <mergeCell ref="AF16:AG16"/>
    <mergeCell ref="AM16:AN16"/>
    <mergeCell ref="AS15:AT15"/>
    <mergeCell ref="AZ15:BD15"/>
    <mergeCell ref="BE15:BI15"/>
    <mergeCell ref="B16:C16"/>
    <mergeCell ref="D16:E16"/>
    <mergeCell ref="F16:G16"/>
    <mergeCell ref="H16:J16"/>
    <mergeCell ref="K16:M16"/>
    <mergeCell ref="N16:O16"/>
    <mergeCell ref="P16:R16"/>
    <mergeCell ref="S15:T15"/>
    <mergeCell ref="U15:W15"/>
    <mergeCell ref="X15:Z15"/>
    <mergeCell ref="AD15:AE15"/>
    <mergeCell ref="AF15:AG15"/>
    <mergeCell ref="AM15:AN15"/>
    <mergeCell ref="B19:G19"/>
    <mergeCell ref="H19:J19"/>
    <mergeCell ref="K19:M19"/>
    <mergeCell ref="N19:O19"/>
    <mergeCell ref="P19:R19"/>
    <mergeCell ref="S19:T19"/>
    <mergeCell ref="P18:R18"/>
    <mergeCell ref="S18:T18"/>
    <mergeCell ref="U18:W18"/>
    <mergeCell ref="X18:Z18"/>
    <mergeCell ref="AD18:AE18"/>
    <mergeCell ref="AF18:AG18"/>
    <mergeCell ref="AM17:AN17"/>
    <mergeCell ref="AS17:AT17"/>
    <mergeCell ref="AU17:AY19"/>
    <mergeCell ref="AZ17:BD17"/>
    <mergeCell ref="B18:C18"/>
    <mergeCell ref="D18:E18"/>
    <mergeCell ref="F18:G18"/>
    <mergeCell ref="H18:J18"/>
    <mergeCell ref="K18:M18"/>
    <mergeCell ref="N18:O18"/>
    <mergeCell ref="P17:R17"/>
    <mergeCell ref="S17:T17"/>
    <mergeCell ref="U17:W17"/>
    <mergeCell ref="X17:Z17"/>
    <mergeCell ref="AD17:AE17"/>
    <mergeCell ref="AF17:AG17"/>
    <mergeCell ref="AZ19:BD19"/>
    <mergeCell ref="BE19:BI19"/>
    <mergeCell ref="AD20:AE20"/>
    <mergeCell ref="AF20:AG20"/>
    <mergeCell ref="AM20:AN20"/>
    <mergeCell ref="AS20:AT20"/>
    <mergeCell ref="AU20:AY20"/>
    <mergeCell ref="AZ20:BD20"/>
    <mergeCell ref="BE20:BI20"/>
    <mergeCell ref="U19:W19"/>
    <mergeCell ref="X19:Z19"/>
    <mergeCell ref="AD19:AE19"/>
    <mergeCell ref="AF19:AG19"/>
    <mergeCell ref="AM19:AN19"/>
    <mergeCell ref="AS19:AT19"/>
    <mergeCell ref="AM18:AN18"/>
    <mergeCell ref="AS18:AT18"/>
    <mergeCell ref="AZ18:BD18"/>
    <mergeCell ref="BE18:BI18"/>
    <mergeCell ref="AZ23:BD23"/>
    <mergeCell ref="BE23:BI23"/>
    <mergeCell ref="AD24:AE24"/>
    <mergeCell ref="AF24:AG24"/>
    <mergeCell ref="AM24:AN24"/>
    <mergeCell ref="AS24:AT24"/>
    <mergeCell ref="AU24:AY24"/>
    <mergeCell ref="AZ24:BD24"/>
    <mergeCell ref="BE24:BI24"/>
    <mergeCell ref="BE21:BI21"/>
    <mergeCell ref="Y22:Z22"/>
    <mergeCell ref="AD22:AE22"/>
    <mergeCell ref="AF22:AG22"/>
    <mergeCell ref="AM22:AN22"/>
    <mergeCell ref="AS22:AT22"/>
    <mergeCell ref="AZ22:BD22"/>
    <mergeCell ref="BE22:BI22"/>
    <mergeCell ref="AD21:AE21"/>
    <mergeCell ref="AF21:AG21"/>
    <mergeCell ref="AM21:AN21"/>
    <mergeCell ref="AS21:AT21"/>
    <mergeCell ref="AU21:AY23"/>
    <mergeCell ref="AZ21:BD21"/>
    <mergeCell ref="AD23:AE23"/>
    <mergeCell ref="AF23:AG23"/>
    <mergeCell ref="AM23:AN23"/>
    <mergeCell ref="AS23:AT23"/>
    <mergeCell ref="BN26:BR26"/>
    <mergeCell ref="BS26:BW26"/>
    <mergeCell ref="AD27:AE27"/>
    <mergeCell ref="AF27:AG27"/>
    <mergeCell ref="AM27:AN27"/>
    <mergeCell ref="AS27:AT27"/>
    <mergeCell ref="AU27:AY27"/>
    <mergeCell ref="AZ27:BD27"/>
    <mergeCell ref="BE27:BI27"/>
    <mergeCell ref="BN27:BR27"/>
    <mergeCell ref="BE25:BI25"/>
    <mergeCell ref="AD26:AE26"/>
    <mergeCell ref="AF26:AG26"/>
    <mergeCell ref="AM26:AN26"/>
    <mergeCell ref="AS26:AT26"/>
    <mergeCell ref="AZ26:BD26"/>
    <mergeCell ref="BE26:BI26"/>
    <mergeCell ref="AD25:AE25"/>
    <mergeCell ref="AF25:AG25"/>
    <mergeCell ref="AM25:AN25"/>
    <mergeCell ref="AS25:AT25"/>
    <mergeCell ref="AU25:AY26"/>
    <mergeCell ref="AZ25:BD25"/>
    <mergeCell ref="BE29:BI29"/>
    <mergeCell ref="BN29:BR29"/>
    <mergeCell ref="BS29:BW29"/>
    <mergeCell ref="AD30:AE30"/>
    <mergeCell ref="AF30:AG30"/>
    <mergeCell ref="AM30:AN30"/>
    <mergeCell ref="AS30:AT30"/>
    <mergeCell ref="AU30:AV30"/>
    <mergeCell ref="BA30:BB30"/>
    <mergeCell ref="BI30:BM30"/>
    <mergeCell ref="AD29:AE29"/>
    <mergeCell ref="AF29:AG29"/>
    <mergeCell ref="AM29:AN29"/>
    <mergeCell ref="AS29:AT29"/>
    <mergeCell ref="AU29:AY29"/>
    <mergeCell ref="AZ29:BD29"/>
    <mergeCell ref="BS27:BW27"/>
    <mergeCell ref="AD28:AE28"/>
    <mergeCell ref="AF28:AG28"/>
    <mergeCell ref="AM28:AN28"/>
    <mergeCell ref="AS28:AT28"/>
    <mergeCell ref="BN28:BR28"/>
    <mergeCell ref="BS28:BW28"/>
    <mergeCell ref="BS31:BW31"/>
    <mergeCell ref="AD32:AE32"/>
    <mergeCell ref="AF32:AG32"/>
    <mergeCell ref="AM32:AN32"/>
    <mergeCell ref="AS32:AT32"/>
    <mergeCell ref="AU32:AV32"/>
    <mergeCell ref="BA32:BB32"/>
    <mergeCell ref="BI32:BM32"/>
    <mergeCell ref="BN32:BR32"/>
    <mergeCell ref="BS32:BW32"/>
    <mergeCell ref="BN30:BR30"/>
    <mergeCell ref="BS30:BW30"/>
    <mergeCell ref="AD31:AE31"/>
    <mergeCell ref="AF31:AG31"/>
    <mergeCell ref="AM31:AN31"/>
    <mergeCell ref="AS31:AT31"/>
    <mergeCell ref="AU31:AV31"/>
    <mergeCell ref="BA31:BB31"/>
    <mergeCell ref="BI31:BM31"/>
    <mergeCell ref="BN31:BR31"/>
    <mergeCell ref="BI35:BM35"/>
    <mergeCell ref="AD36:AE36"/>
    <mergeCell ref="AF36:AG36"/>
    <mergeCell ref="AM36:AN36"/>
    <mergeCell ref="AU36:AV36"/>
    <mergeCell ref="BA36:BB36"/>
    <mergeCell ref="BI36:BM36"/>
    <mergeCell ref="BA34:BB34"/>
    <mergeCell ref="AD35:AE35"/>
    <mergeCell ref="AF35:AG35"/>
    <mergeCell ref="AM35:AN35"/>
    <mergeCell ref="AU35:AV35"/>
    <mergeCell ref="BA35:BB35"/>
    <mergeCell ref="AD33:AE33"/>
    <mergeCell ref="AF33:AG33"/>
    <mergeCell ref="AM33:AN33"/>
    <mergeCell ref="AU33:AV33"/>
    <mergeCell ref="BA33:BB33"/>
    <mergeCell ref="BI33:BM34"/>
    <mergeCell ref="AD34:AE34"/>
    <mergeCell ref="AF34:AG34"/>
    <mergeCell ref="AM34:AN34"/>
    <mergeCell ref="AU34:AV34"/>
    <mergeCell ref="AD43:AF43"/>
    <mergeCell ref="AI43:AJ43"/>
    <mergeCell ref="J44:K44"/>
    <mergeCell ref="AD44:AF44"/>
    <mergeCell ref="K45:O45"/>
    <mergeCell ref="M46:N46"/>
    <mergeCell ref="AD40:AF40"/>
    <mergeCell ref="AI40:AJ40"/>
    <mergeCell ref="AD41:AF41"/>
    <mergeCell ref="AI41:AJ41"/>
    <mergeCell ref="AD42:AF42"/>
    <mergeCell ref="AI42:AJ42"/>
    <mergeCell ref="AD37:AE37"/>
    <mergeCell ref="AF37:AG37"/>
    <mergeCell ref="AM37:AN37"/>
    <mergeCell ref="BE37:BF37"/>
    <mergeCell ref="AD39:AF39"/>
    <mergeCell ref="AI39:AJ39"/>
    <mergeCell ref="M64:N64"/>
    <mergeCell ref="M65:N65"/>
    <mergeCell ref="M66:N66"/>
    <mergeCell ref="C67:D67"/>
    <mergeCell ref="K67:L67"/>
    <mergeCell ref="K69:O69"/>
    <mergeCell ref="C57:D57"/>
    <mergeCell ref="K57:L57"/>
    <mergeCell ref="K60:O60"/>
    <mergeCell ref="J61:K61"/>
    <mergeCell ref="M62:N62"/>
    <mergeCell ref="M63:N63"/>
    <mergeCell ref="C50:D50"/>
    <mergeCell ref="K50:L50"/>
    <mergeCell ref="AN51:AR51"/>
    <mergeCell ref="K52:O52"/>
    <mergeCell ref="AP52:AQ52"/>
    <mergeCell ref="M53:N53"/>
    <mergeCell ref="U84:Z84"/>
    <mergeCell ref="B85:D85"/>
    <mergeCell ref="E85:I85"/>
    <mergeCell ref="J85:N85"/>
    <mergeCell ref="O85:T85"/>
    <mergeCell ref="U85:Z85"/>
    <mergeCell ref="C76:D76"/>
    <mergeCell ref="K76:L76"/>
    <mergeCell ref="B84:D84"/>
    <mergeCell ref="E84:I84"/>
    <mergeCell ref="J84:N84"/>
    <mergeCell ref="O84:T84"/>
    <mergeCell ref="J70:K70"/>
    <mergeCell ref="M71:N71"/>
    <mergeCell ref="M72:N72"/>
    <mergeCell ref="M73:N73"/>
    <mergeCell ref="M74:N74"/>
    <mergeCell ref="M75:N75"/>
    <mergeCell ref="Q91:S91"/>
    <mergeCell ref="T91:W91"/>
    <mergeCell ref="X91:Z91"/>
    <mergeCell ref="B92:D93"/>
    <mergeCell ref="E92:G93"/>
    <mergeCell ref="H92:J93"/>
    <mergeCell ref="K92:M93"/>
    <mergeCell ref="N92:P93"/>
    <mergeCell ref="Q92:S93"/>
    <mergeCell ref="T92:W93"/>
    <mergeCell ref="B86:D86"/>
    <mergeCell ref="E86:I86"/>
    <mergeCell ref="J86:N86"/>
    <mergeCell ref="O86:T86"/>
    <mergeCell ref="U86:Z86"/>
    <mergeCell ref="B91:D91"/>
    <mergeCell ref="E91:G91"/>
    <mergeCell ref="H91:J91"/>
    <mergeCell ref="K91:M91"/>
    <mergeCell ref="N91:P91"/>
    <mergeCell ref="L98:M98"/>
    <mergeCell ref="O98:P98"/>
    <mergeCell ref="R98:S98"/>
    <mergeCell ref="U98:V98"/>
    <mergeCell ref="N100:O100"/>
    <mergeCell ref="Q100:R100"/>
    <mergeCell ref="T100:U100"/>
    <mergeCell ref="X92:Z93"/>
    <mergeCell ref="D97:D98"/>
    <mergeCell ref="E97:I97"/>
    <mergeCell ref="K97:K98"/>
    <mergeCell ref="M97:O97"/>
    <mergeCell ref="Q97:R97"/>
    <mergeCell ref="T97:U97"/>
    <mergeCell ref="W97:W98"/>
    <mergeCell ref="X97:Z98"/>
    <mergeCell ref="E98:I98"/>
    <mergeCell ref="AD107:AF108"/>
    <mergeCell ref="AG107:AI108"/>
    <mergeCell ref="E108:H108"/>
    <mergeCell ref="I108:J108"/>
    <mergeCell ref="K108:M108"/>
    <mergeCell ref="N108:O108"/>
    <mergeCell ref="R108:T108"/>
    <mergeCell ref="U108:W108"/>
    <mergeCell ref="X101:Z101"/>
    <mergeCell ref="B107:D108"/>
    <mergeCell ref="E107:H107"/>
    <mergeCell ref="I107:J107"/>
    <mergeCell ref="K107:M107"/>
    <mergeCell ref="N107:O107"/>
    <mergeCell ref="P107:Q108"/>
    <mergeCell ref="R107:T107"/>
    <mergeCell ref="U107:W107"/>
    <mergeCell ref="X107:Z108"/>
    <mergeCell ref="P110:Q110"/>
    <mergeCell ref="R110:T110"/>
    <mergeCell ref="U110:W110"/>
    <mergeCell ref="X110:Z110"/>
    <mergeCell ref="AD110:AF110"/>
    <mergeCell ref="AG110:AI110"/>
    <mergeCell ref="B110:D110"/>
    <mergeCell ref="E110:F110"/>
    <mergeCell ref="G110:H110"/>
    <mergeCell ref="I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D109"/>
    <mergeCell ref="E109:F109"/>
    <mergeCell ref="G109:H109"/>
    <mergeCell ref="I109:J109"/>
    <mergeCell ref="K109:M109"/>
    <mergeCell ref="N109:O109"/>
    <mergeCell ref="P112:Q112"/>
    <mergeCell ref="R112:T112"/>
    <mergeCell ref="U112:W112"/>
    <mergeCell ref="X112:Z112"/>
    <mergeCell ref="AD112:AF112"/>
    <mergeCell ref="AG112:AI112"/>
    <mergeCell ref="B112:D112"/>
    <mergeCell ref="E112:F112"/>
    <mergeCell ref="G112:H112"/>
    <mergeCell ref="I112:J112"/>
    <mergeCell ref="K112:M112"/>
    <mergeCell ref="N112:O112"/>
    <mergeCell ref="P111:Q111"/>
    <mergeCell ref="R111:T111"/>
    <mergeCell ref="U111:W111"/>
    <mergeCell ref="X111:Z111"/>
    <mergeCell ref="AD111:AF111"/>
    <mergeCell ref="AG111:AI111"/>
    <mergeCell ref="B111:D111"/>
    <mergeCell ref="E111:F111"/>
    <mergeCell ref="G111:H111"/>
    <mergeCell ref="I111:J111"/>
    <mergeCell ref="K111:M111"/>
    <mergeCell ref="N111:O111"/>
    <mergeCell ref="P114:Q114"/>
    <mergeCell ref="R114:T114"/>
    <mergeCell ref="U114:W114"/>
    <mergeCell ref="X114:Z114"/>
    <mergeCell ref="AD114:AF114"/>
    <mergeCell ref="AG114:AI114"/>
    <mergeCell ref="B114:D114"/>
    <mergeCell ref="E114:F114"/>
    <mergeCell ref="G114:H114"/>
    <mergeCell ref="I114:J114"/>
    <mergeCell ref="K114:M114"/>
    <mergeCell ref="N114:O114"/>
    <mergeCell ref="P113:Q113"/>
    <mergeCell ref="R113:T113"/>
    <mergeCell ref="U113:W113"/>
    <mergeCell ref="X113:Z113"/>
    <mergeCell ref="AD113:AF113"/>
    <mergeCell ref="AG113:AI113"/>
    <mergeCell ref="B113:D113"/>
    <mergeCell ref="E113:F113"/>
    <mergeCell ref="G113:H113"/>
    <mergeCell ref="I113:J113"/>
    <mergeCell ref="K113:M113"/>
    <mergeCell ref="N113:O113"/>
    <mergeCell ref="AS120:AT120"/>
    <mergeCell ref="AL122:AM122"/>
    <mergeCell ref="AP122:AQ122"/>
    <mergeCell ref="AU122:AV122"/>
    <mergeCell ref="F117:G117"/>
    <mergeCell ref="J117:K117"/>
    <mergeCell ref="AD117:AF117"/>
    <mergeCell ref="AG117:AI117"/>
    <mergeCell ref="AS117:AT117"/>
    <mergeCell ref="AD118:AF118"/>
    <mergeCell ref="AG118:AI118"/>
    <mergeCell ref="AO118:AP118"/>
    <mergeCell ref="U115:W115"/>
    <mergeCell ref="X115:Z115"/>
    <mergeCell ref="AD115:AF115"/>
    <mergeCell ref="AG115:AI115"/>
    <mergeCell ref="AD116:AF116"/>
    <mergeCell ref="AG116:AI116"/>
    <mergeCell ref="B115:H115"/>
    <mergeCell ref="I115:J115"/>
    <mergeCell ref="K115:M115"/>
    <mergeCell ref="N115:O115"/>
    <mergeCell ref="P115:Q115"/>
    <mergeCell ref="R115:T115"/>
    <mergeCell ref="R124:T124"/>
    <mergeCell ref="U124:W124"/>
    <mergeCell ref="X124:Z125"/>
    <mergeCell ref="AD124:AF125"/>
    <mergeCell ref="AG124:AI125"/>
    <mergeCell ref="E125:H125"/>
    <mergeCell ref="I125:J125"/>
    <mergeCell ref="K125:M125"/>
    <mergeCell ref="N125:O125"/>
    <mergeCell ref="R125:T125"/>
    <mergeCell ref="B124:D125"/>
    <mergeCell ref="E124:H124"/>
    <mergeCell ref="I124:J124"/>
    <mergeCell ref="K124:M124"/>
    <mergeCell ref="N124:O124"/>
    <mergeCell ref="P124:Q125"/>
    <mergeCell ref="U119:W119"/>
    <mergeCell ref="U120:W120"/>
    <mergeCell ref="X126:Z126"/>
    <mergeCell ref="AD126:AF126"/>
    <mergeCell ref="AG126:AI126"/>
    <mergeCell ref="B127:D127"/>
    <mergeCell ref="E127:F127"/>
    <mergeCell ref="G127:H127"/>
    <mergeCell ref="I127:J127"/>
    <mergeCell ref="K127:M127"/>
    <mergeCell ref="N127:O127"/>
    <mergeCell ref="P127:Q127"/>
    <mergeCell ref="U125:W125"/>
    <mergeCell ref="B126:D126"/>
    <mergeCell ref="E126:F126"/>
    <mergeCell ref="G126:H126"/>
    <mergeCell ref="I126:J126"/>
    <mergeCell ref="K126:M126"/>
    <mergeCell ref="N126:O126"/>
    <mergeCell ref="P126:Q126"/>
    <mergeCell ref="R126:T126"/>
    <mergeCell ref="U126:W126"/>
    <mergeCell ref="AG128:AI128"/>
    <mergeCell ref="B129:D129"/>
    <mergeCell ref="E129:F129"/>
    <mergeCell ref="G129:H129"/>
    <mergeCell ref="I129:J129"/>
    <mergeCell ref="K129:M129"/>
    <mergeCell ref="N129:O129"/>
    <mergeCell ref="P129:Q129"/>
    <mergeCell ref="R129:T129"/>
    <mergeCell ref="U129:W129"/>
    <mergeCell ref="N128:O128"/>
    <mergeCell ref="P128:Q128"/>
    <mergeCell ref="R128:T128"/>
    <mergeCell ref="U128:W128"/>
    <mergeCell ref="X128:Z128"/>
    <mergeCell ref="AD128:AF128"/>
    <mergeCell ref="R127:T127"/>
    <mergeCell ref="U127:W127"/>
    <mergeCell ref="X127:Z127"/>
    <mergeCell ref="AD127:AF127"/>
    <mergeCell ref="AG127:AI127"/>
    <mergeCell ref="B128:D128"/>
    <mergeCell ref="E128:F128"/>
    <mergeCell ref="G128:H128"/>
    <mergeCell ref="I128:J128"/>
    <mergeCell ref="K128:M128"/>
    <mergeCell ref="R130:T130"/>
    <mergeCell ref="U130:W130"/>
    <mergeCell ref="X130:Z130"/>
    <mergeCell ref="AD130:AF130"/>
    <mergeCell ref="AG130:AI130"/>
    <mergeCell ref="B131:D131"/>
    <mergeCell ref="E131:F131"/>
    <mergeCell ref="G131:H131"/>
    <mergeCell ref="I131:J131"/>
    <mergeCell ref="K131:M131"/>
    <mergeCell ref="X129:Z129"/>
    <mergeCell ref="AD129:AF129"/>
    <mergeCell ref="AG129:AI129"/>
    <mergeCell ref="B130:D130"/>
    <mergeCell ref="E130:F130"/>
    <mergeCell ref="G130:H130"/>
    <mergeCell ref="I130:J130"/>
    <mergeCell ref="K130:M130"/>
    <mergeCell ref="N130:O130"/>
    <mergeCell ref="P130:Q130"/>
    <mergeCell ref="U135:W135"/>
    <mergeCell ref="AD135:AF135"/>
    <mergeCell ref="AG135:AI135"/>
    <mergeCell ref="AJ137:AK137"/>
    <mergeCell ref="AN137:AP137"/>
    <mergeCell ref="G138:H138"/>
    <mergeCell ref="S138:T138"/>
    <mergeCell ref="X132:Z132"/>
    <mergeCell ref="AD132:AF132"/>
    <mergeCell ref="AG132:AI132"/>
    <mergeCell ref="AD133:AF133"/>
    <mergeCell ref="AG133:AI133"/>
    <mergeCell ref="U134:W134"/>
    <mergeCell ref="AD134:AF134"/>
    <mergeCell ref="AG134:AI134"/>
    <mergeCell ref="AG131:AI131"/>
    <mergeCell ref="B132:D132"/>
    <mergeCell ref="E132:F132"/>
    <mergeCell ref="G132:H132"/>
    <mergeCell ref="I132:J132"/>
    <mergeCell ref="K132:M132"/>
    <mergeCell ref="N132:O132"/>
    <mergeCell ref="P132:Q132"/>
    <mergeCell ref="R132:T132"/>
    <mergeCell ref="U132:W132"/>
    <mergeCell ref="N131:O131"/>
    <mergeCell ref="P131:Q131"/>
    <mergeCell ref="R131:T131"/>
    <mergeCell ref="U131:W131"/>
    <mergeCell ref="X131:Z131"/>
    <mergeCell ref="AD131:AF131"/>
    <mergeCell ref="P161:R161"/>
    <mergeCell ref="P162:R162"/>
    <mergeCell ref="P164:R164"/>
    <mergeCell ref="P165:R165"/>
    <mergeCell ref="F167:H167"/>
    <mergeCell ref="O167:Q167"/>
    <mergeCell ref="B149:E150"/>
    <mergeCell ref="E154:G155"/>
    <mergeCell ref="M154:O155"/>
    <mergeCell ref="U154:W155"/>
    <mergeCell ref="P158:R158"/>
    <mergeCell ref="P159:R159"/>
    <mergeCell ref="B142:B143"/>
    <mergeCell ref="I142:I143"/>
    <mergeCell ref="Q142:Q144"/>
    <mergeCell ref="K144:K146"/>
    <mergeCell ref="Y145:Z147"/>
    <mergeCell ref="F146:F147"/>
    <mergeCell ref="N146:N147"/>
    <mergeCell ref="S146:S148"/>
    <mergeCell ref="V146:V147"/>
    <mergeCell ref="I147:I148"/>
    <mergeCell ref="AG196:AH196"/>
    <mergeCell ref="AI196:AJ196"/>
    <mergeCell ref="B197:E197"/>
    <mergeCell ref="F197:L197"/>
    <mergeCell ref="M197:R197"/>
    <mergeCell ref="S197:Z197"/>
    <mergeCell ref="B195:E195"/>
    <mergeCell ref="F195:L195"/>
    <mergeCell ref="M195:R195"/>
    <mergeCell ref="S195:Z195"/>
    <mergeCell ref="AG195:AH195"/>
    <mergeCell ref="AI195:AJ195"/>
    <mergeCell ref="B194:E194"/>
    <mergeCell ref="F194:L194"/>
    <mergeCell ref="M194:R194"/>
    <mergeCell ref="S194:Z194"/>
    <mergeCell ref="AG194:AH194"/>
    <mergeCell ref="AI194:AJ194"/>
    <mergeCell ref="B204:G204"/>
    <mergeCell ref="H204:K204"/>
    <mergeCell ref="L204:N204"/>
    <mergeCell ref="O204:R204"/>
    <mergeCell ref="S204:V204"/>
    <mergeCell ref="W204:Z204"/>
    <mergeCell ref="W201:Z202"/>
    <mergeCell ref="B202:G202"/>
    <mergeCell ref="B203:G203"/>
    <mergeCell ref="H203:K203"/>
    <mergeCell ref="L203:N203"/>
    <mergeCell ref="O203:R203"/>
    <mergeCell ref="S203:V203"/>
    <mergeCell ref="W203:Z203"/>
    <mergeCell ref="B198:E198"/>
    <mergeCell ref="F198:L198"/>
    <mergeCell ref="M198:R198"/>
    <mergeCell ref="S198:Z198"/>
    <mergeCell ref="B200:D200"/>
    <mergeCell ref="B201:G201"/>
    <mergeCell ref="H201:K202"/>
    <mergeCell ref="L201:N202"/>
    <mergeCell ref="O201:R202"/>
    <mergeCell ref="S201:V202"/>
    <mergeCell ref="E221:G221"/>
    <mergeCell ref="I221:K221"/>
    <mergeCell ref="M221:O221"/>
    <mergeCell ref="E222:G222"/>
    <mergeCell ref="I222:K222"/>
    <mergeCell ref="M222:O222"/>
    <mergeCell ref="V208:Z208"/>
    <mergeCell ref="B209:E209"/>
    <mergeCell ref="F209:I209"/>
    <mergeCell ref="J209:L209"/>
    <mergeCell ref="M209:O209"/>
    <mergeCell ref="P209:R209"/>
    <mergeCell ref="S209:U209"/>
    <mergeCell ref="V209:Z209"/>
    <mergeCell ref="B208:E208"/>
    <mergeCell ref="F208:I208"/>
    <mergeCell ref="J208:L208"/>
    <mergeCell ref="M208:O208"/>
    <mergeCell ref="P208:R208"/>
    <mergeCell ref="S208:U208"/>
    <mergeCell ref="B230:R230"/>
    <mergeCell ref="S230:Z230"/>
    <mergeCell ref="B236:E236"/>
    <mergeCell ref="F236:I236"/>
    <mergeCell ref="J236:L236"/>
    <mergeCell ref="M236:O236"/>
    <mergeCell ref="P236:R236"/>
    <mergeCell ref="S236:U236"/>
    <mergeCell ref="V236:Z236"/>
    <mergeCell ref="E225:G225"/>
    <mergeCell ref="I225:K225"/>
    <mergeCell ref="M225:O225"/>
    <mergeCell ref="B228:R228"/>
    <mergeCell ref="S228:Z228"/>
    <mergeCell ref="B229:R229"/>
    <mergeCell ref="S229:Z229"/>
    <mergeCell ref="Q222:S222"/>
    <mergeCell ref="E223:G223"/>
    <mergeCell ref="I223:K223"/>
    <mergeCell ref="E224:G224"/>
    <mergeCell ref="I224:K224"/>
    <mergeCell ref="M224:O224"/>
    <mergeCell ref="Q224:S224"/>
    <mergeCell ref="E253:G253"/>
    <mergeCell ref="I253:K253"/>
    <mergeCell ref="M253:O253"/>
    <mergeCell ref="N268:P268"/>
    <mergeCell ref="N269:P269"/>
    <mergeCell ref="N270:P270"/>
    <mergeCell ref="E251:G251"/>
    <mergeCell ref="I251:K251"/>
    <mergeCell ref="E252:G252"/>
    <mergeCell ref="I252:K252"/>
    <mergeCell ref="M252:O252"/>
    <mergeCell ref="Q252:S252"/>
    <mergeCell ref="V237:Z237"/>
    <mergeCell ref="E249:G249"/>
    <mergeCell ref="I249:K249"/>
    <mergeCell ref="M249:O249"/>
    <mergeCell ref="E250:G250"/>
    <mergeCell ref="I250:K250"/>
    <mergeCell ref="M250:O250"/>
    <mergeCell ref="Q250:S250"/>
    <mergeCell ref="B237:E237"/>
    <mergeCell ref="F237:I237"/>
    <mergeCell ref="J237:L237"/>
    <mergeCell ref="M237:O237"/>
    <mergeCell ref="P237:R237"/>
    <mergeCell ref="S237:U237"/>
    <mergeCell ref="F286:G286"/>
    <mergeCell ref="I286:K286"/>
    <mergeCell ref="M286:O286"/>
    <mergeCell ref="Q286:S286"/>
    <mergeCell ref="F287:G287"/>
    <mergeCell ref="I287:J287"/>
    <mergeCell ref="L287:M287"/>
    <mergeCell ref="O287:Q287"/>
    <mergeCell ref="S287:U287"/>
    <mergeCell ref="N281:P281"/>
    <mergeCell ref="N282:P282"/>
    <mergeCell ref="F285:G285"/>
    <mergeCell ref="I285:K285"/>
    <mergeCell ref="M285:O285"/>
    <mergeCell ref="Q285:S285"/>
    <mergeCell ref="N273:P273"/>
    <mergeCell ref="N274:P274"/>
    <mergeCell ref="N275:P275"/>
    <mergeCell ref="N276:P276"/>
    <mergeCell ref="N279:P279"/>
    <mergeCell ref="N280:P280"/>
    <mergeCell ref="C301:L303"/>
    <mergeCell ref="M301:P303"/>
    <mergeCell ref="Q301:S303"/>
    <mergeCell ref="T301:T303"/>
    <mergeCell ref="U301:W303"/>
    <mergeCell ref="X301:Z303"/>
    <mergeCell ref="E295:G295"/>
    <mergeCell ref="I295:K295"/>
    <mergeCell ref="E296:G296"/>
    <mergeCell ref="C299:L300"/>
    <mergeCell ref="M299:P300"/>
    <mergeCell ref="Q299:Z299"/>
    <mergeCell ref="Q300:W300"/>
    <mergeCell ref="X300:Z300"/>
    <mergeCell ref="W287:Y287"/>
    <mergeCell ref="F288:H288"/>
    <mergeCell ref="J288:L288"/>
    <mergeCell ref="N288:P288"/>
    <mergeCell ref="R288:T288"/>
    <mergeCell ref="F289:H289"/>
    <mergeCell ref="J289:L289"/>
    <mergeCell ref="N289:P289"/>
    <mergeCell ref="U308:W308"/>
    <mergeCell ref="X308:Z308"/>
    <mergeCell ref="M309:P309"/>
    <mergeCell ref="Q309:S309"/>
    <mergeCell ref="U309:W309"/>
    <mergeCell ref="X309:Z309"/>
    <mergeCell ref="Q306:S306"/>
    <mergeCell ref="U306:W306"/>
    <mergeCell ref="X306:Z306"/>
    <mergeCell ref="C307:L309"/>
    <mergeCell ref="M307:P307"/>
    <mergeCell ref="Q307:S307"/>
    <mergeCell ref="U307:W307"/>
    <mergeCell ref="X307:Z307"/>
    <mergeCell ref="M308:P308"/>
    <mergeCell ref="Q308:S308"/>
    <mergeCell ref="C304:L306"/>
    <mergeCell ref="M304:P304"/>
    <mergeCell ref="Q304:S304"/>
    <mergeCell ref="U304:W304"/>
    <mergeCell ref="X304:Z304"/>
    <mergeCell ref="M305:P305"/>
    <mergeCell ref="Q305:S305"/>
    <mergeCell ref="U305:W305"/>
    <mergeCell ref="X305:Z305"/>
    <mergeCell ref="M306:P306"/>
    <mergeCell ref="U314:W314"/>
    <mergeCell ref="X314:Z314"/>
    <mergeCell ref="M315:P315"/>
    <mergeCell ref="Q315:S315"/>
    <mergeCell ref="U315:W315"/>
    <mergeCell ref="X315:Z315"/>
    <mergeCell ref="Q312:S312"/>
    <mergeCell ref="U312:W312"/>
    <mergeCell ref="X312:Z312"/>
    <mergeCell ref="C313:L315"/>
    <mergeCell ref="M313:P313"/>
    <mergeCell ref="Q313:S313"/>
    <mergeCell ref="U313:W313"/>
    <mergeCell ref="X313:Z313"/>
    <mergeCell ref="M314:P314"/>
    <mergeCell ref="Q314:S314"/>
    <mergeCell ref="C310:L312"/>
    <mergeCell ref="M310:P310"/>
    <mergeCell ref="Q310:S310"/>
    <mergeCell ref="U310:W310"/>
    <mergeCell ref="X310:Z310"/>
    <mergeCell ref="M311:P311"/>
    <mergeCell ref="Q311:S311"/>
    <mergeCell ref="U311:W311"/>
    <mergeCell ref="X311:Z311"/>
    <mergeCell ref="M312:P312"/>
    <mergeCell ref="O328:P328"/>
    <mergeCell ref="R328:S328"/>
    <mergeCell ref="U328:W328"/>
    <mergeCell ref="E330:G330"/>
    <mergeCell ref="I330:K330"/>
    <mergeCell ref="M330:O330"/>
    <mergeCell ref="K323:M323"/>
    <mergeCell ref="K324:M324"/>
    <mergeCell ref="K325:M325"/>
    <mergeCell ref="K326:M326"/>
    <mergeCell ref="K327:M327"/>
    <mergeCell ref="E328:G328"/>
    <mergeCell ref="I328:J328"/>
    <mergeCell ref="L328:M328"/>
    <mergeCell ref="Q318:S318"/>
    <mergeCell ref="U318:W318"/>
    <mergeCell ref="X318:Z318"/>
    <mergeCell ref="C319:Z321"/>
    <mergeCell ref="K322:M322"/>
    <mergeCell ref="N322:O322"/>
    <mergeCell ref="C316:L318"/>
    <mergeCell ref="M316:P316"/>
    <mergeCell ref="Q316:S316"/>
    <mergeCell ref="U316:W316"/>
    <mergeCell ref="X316:Z316"/>
    <mergeCell ref="M317:P317"/>
    <mergeCell ref="Q317:S317"/>
    <mergeCell ref="U317:W317"/>
    <mergeCell ref="X317:Z317"/>
    <mergeCell ref="M318:P318"/>
    <mergeCell ref="S362:T362"/>
    <mergeCell ref="V362:W362"/>
    <mergeCell ref="O364:Q364"/>
    <mergeCell ref="L366:M366"/>
    <mergeCell ref="S366:T366"/>
    <mergeCell ref="V366:W366"/>
    <mergeCell ref="R354:T354"/>
    <mergeCell ref="L357:M357"/>
    <mergeCell ref="S357:T357"/>
    <mergeCell ref="V357:W357"/>
    <mergeCell ref="P358:Q358"/>
    <mergeCell ref="P360:Q360"/>
    <mergeCell ref="C338:D338"/>
    <mergeCell ref="U339:V339"/>
    <mergeCell ref="U340:V340"/>
    <mergeCell ref="AI347:AJ347"/>
    <mergeCell ref="AI350:AJ350"/>
    <mergeCell ref="J352:K352"/>
    <mergeCell ref="P352:R352"/>
    <mergeCell ref="T352:V352"/>
    <mergeCell ref="L386:N386"/>
    <mergeCell ref="S386:U386"/>
    <mergeCell ref="B392:D393"/>
    <mergeCell ref="E392:M392"/>
    <mergeCell ref="N392:P393"/>
    <mergeCell ref="Q392:S393"/>
    <mergeCell ref="T392:V393"/>
    <mergeCell ref="P376:Q376"/>
    <mergeCell ref="P378:Q378"/>
    <mergeCell ref="S380:T380"/>
    <mergeCell ref="V380:W380"/>
    <mergeCell ref="O382:Q382"/>
    <mergeCell ref="S384:U384"/>
    <mergeCell ref="P367:Q367"/>
    <mergeCell ref="P369:Q369"/>
    <mergeCell ref="S371:T371"/>
    <mergeCell ref="V371:W371"/>
    <mergeCell ref="O373:Q373"/>
    <mergeCell ref="L375:M375"/>
    <mergeCell ref="S375:T375"/>
    <mergeCell ref="V375:W375"/>
    <mergeCell ref="B399:R399"/>
    <mergeCell ref="S399:Z399"/>
    <mergeCell ref="B451:D451"/>
    <mergeCell ref="E451:H451"/>
    <mergeCell ref="I451:L451"/>
    <mergeCell ref="M451:P451"/>
    <mergeCell ref="Q451:S451"/>
    <mergeCell ref="T451:V451"/>
    <mergeCell ref="W451:Y451"/>
    <mergeCell ref="T394:V394"/>
    <mergeCell ref="W394:Y394"/>
    <mergeCell ref="B397:R397"/>
    <mergeCell ref="S397:Z397"/>
    <mergeCell ref="B398:R398"/>
    <mergeCell ref="S398:Z398"/>
    <mergeCell ref="W392:Y393"/>
    <mergeCell ref="E393:G393"/>
    <mergeCell ref="H393:J393"/>
    <mergeCell ref="K393:M393"/>
    <mergeCell ref="B394:D394"/>
    <mergeCell ref="E394:G394"/>
    <mergeCell ref="H394:J394"/>
    <mergeCell ref="K394:M394"/>
    <mergeCell ref="N394:P394"/>
    <mergeCell ref="Q394:S394"/>
    <mergeCell ref="AL455:AM455"/>
    <mergeCell ref="AN455:AO455"/>
    <mergeCell ref="E456:F457"/>
    <mergeCell ref="G456:I457"/>
    <mergeCell ref="J456:L457"/>
    <mergeCell ref="M456:N457"/>
    <mergeCell ref="O456:Q457"/>
    <mergeCell ref="AD456:AF457"/>
    <mergeCell ref="AG456:AH457"/>
    <mergeCell ref="AJ456:AJ457"/>
    <mergeCell ref="W452:Y452"/>
    <mergeCell ref="B454:D457"/>
    <mergeCell ref="E454:F455"/>
    <mergeCell ref="G454:I455"/>
    <mergeCell ref="J454:L455"/>
    <mergeCell ref="M454:N455"/>
    <mergeCell ref="O454:Q455"/>
    <mergeCell ref="B452:D452"/>
    <mergeCell ref="E452:H452"/>
    <mergeCell ref="I452:L452"/>
    <mergeCell ref="M452:P452"/>
    <mergeCell ref="Q452:S452"/>
    <mergeCell ref="T452:V452"/>
    <mergeCell ref="AL458:AM458"/>
    <mergeCell ref="AN458:AO458"/>
    <mergeCell ref="AS458:AT458"/>
    <mergeCell ref="AU458:AV458"/>
    <mergeCell ref="E459:F459"/>
    <mergeCell ref="G459:I459"/>
    <mergeCell ref="J459:L459"/>
    <mergeCell ref="M459:N459"/>
    <mergeCell ref="O459:Q459"/>
    <mergeCell ref="AG459:AH459"/>
    <mergeCell ref="E458:F458"/>
    <mergeCell ref="G458:I458"/>
    <mergeCell ref="J458:L458"/>
    <mergeCell ref="M458:N458"/>
    <mergeCell ref="O458:Q458"/>
    <mergeCell ref="AG458:AH458"/>
    <mergeCell ref="AK456:AK457"/>
    <mergeCell ref="AM456:AM457"/>
    <mergeCell ref="AO456:AO457"/>
    <mergeCell ref="AQ456:AQ457"/>
    <mergeCell ref="AS456:AT457"/>
    <mergeCell ref="AU456:AV457"/>
    <mergeCell ref="AL460:AM460"/>
    <mergeCell ref="AN460:AO460"/>
    <mergeCell ref="AS460:AT460"/>
    <mergeCell ref="AU460:AV460"/>
    <mergeCell ref="E461:F461"/>
    <mergeCell ref="G461:I461"/>
    <mergeCell ref="J461:L461"/>
    <mergeCell ref="M461:N461"/>
    <mergeCell ref="O461:Q461"/>
    <mergeCell ref="AG461:AH461"/>
    <mergeCell ref="AL459:AM459"/>
    <mergeCell ref="AN459:AO459"/>
    <mergeCell ref="AS459:AT459"/>
    <mergeCell ref="AU459:AV459"/>
    <mergeCell ref="E460:F460"/>
    <mergeCell ref="G460:I460"/>
    <mergeCell ref="J460:L460"/>
    <mergeCell ref="M460:N460"/>
    <mergeCell ref="O460:Q460"/>
    <mergeCell ref="AG460:AH460"/>
    <mergeCell ref="AL462:AM462"/>
    <mergeCell ref="AN462:AO462"/>
    <mergeCell ref="AS462:AT462"/>
    <mergeCell ref="AU462:AV462"/>
    <mergeCell ref="E463:F463"/>
    <mergeCell ref="G463:I463"/>
    <mergeCell ref="J463:L463"/>
    <mergeCell ref="M463:N463"/>
    <mergeCell ref="O463:Q463"/>
    <mergeCell ref="AG463:AH463"/>
    <mergeCell ref="AL461:AM461"/>
    <mergeCell ref="AN461:AO461"/>
    <mergeCell ref="AS461:AT461"/>
    <mergeCell ref="AU461:AV461"/>
    <mergeCell ref="E462:F462"/>
    <mergeCell ref="G462:I462"/>
    <mergeCell ref="J462:L462"/>
    <mergeCell ref="M462:N462"/>
    <mergeCell ref="O462:Q462"/>
    <mergeCell ref="AG462:AH462"/>
    <mergeCell ref="AL464:AM464"/>
    <mergeCell ref="AN464:AO464"/>
    <mergeCell ref="AS464:AT464"/>
    <mergeCell ref="AU464:AV464"/>
    <mergeCell ref="E465:F465"/>
    <mergeCell ref="G465:I465"/>
    <mergeCell ref="J465:L465"/>
    <mergeCell ref="M465:N465"/>
    <mergeCell ref="O465:Q465"/>
    <mergeCell ref="AG465:AH465"/>
    <mergeCell ref="AL463:AM463"/>
    <mergeCell ref="AN463:AO463"/>
    <mergeCell ref="AS463:AT463"/>
    <mergeCell ref="AU463:AV463"/>
    <mergeCell ref="E464:F464"/>
    <mergeCell ref="G464:I464"/>
    <mergeCell ref="J464:L464"/>
    <mergeCell ref="M464:N464"/>
    <mergeCell ref="O464:Q464"/>
    <mergeCell ref="AG464:AH464"/>
    <mergeCell ref="AL466:AM466"/>
    <mergeCell ref="AN466:AO466"/>
    <mergeCell ref="AS466:AT466"/>
    <mergeCell ref="AU466:AV466"/>
    <mergeCell ref="E467:F467"/>
    <mergeCell ref="G467:I467"/>
    <mergeCell ref="J467:L467"/>
    <mergeCell ref="M467:N467"/>
    <mergeCell ref="O467:Q467"/>
    <mergeCell ref="AG467:AH467"/>
    <mergeCell ref="AL465:AM465"/>
    <mergeCell ref="AN465:AO465"/>
    <mergeCell ref="AS465:AT465"/>
    <mergeCell ref="AU465:AV465"/>
    <mergeCell ref="E466:F466"/>
    <mergeCell ref="G466:I466"/>
    <mergeCell ref="J466:L466"/>
    <mergeCell ref="M466:N466"/>
    <mergeCell ref="O466:Q466"/>
    <mergeCell ref="AG466:AH466"/>
    <mergeCell ref="AL468:AM468"/>
    <mergeCell ref="AN468:AO468"/>
    <mergeCell ref="AS468:AT468"/>
    <mergeCell ref="AU468:AV468"/>
    <mergeCell ref="E469:F469"/>
    <mergeCell ref="G469:I469"/>
    <mergeCell ref="J469:L469"/>
    <mergeCell ref="M469:N469"/>
    <mergeCell ref="O469:Q469"/>
    <mergeCell ref="AG469:AH469"/>
    <mergeCell ref="AL467:AM467"/>
    <mergeCell ref="AN467:AO467"/>
    <mergeCell ref="AS467:AT467"/>
    <mergeCell ref="AU467:AV467"/>
    <mergeCell ref="E468:F468"/>
    <mergeCell ref="G468:I468"/>
    <mergeCell ref="J468:L468"/>
    <mergeCell ref="M468:N468"/>
    <mergeCell ref="O468:Q468"/>
    <mergeCell ref="AG468:AH468"/>
    <mergeCell ref="AL470:AM470"/>
    <mergeCell ref="AN470:AO470"/>
    <mergeCell ref="AS470:AT470"/>
    <mergeCell ref="AU470:AV470"/>
    <mergeCell ref="E471:F471"/>
    <mergeCell ref="G471:I471"/>
    <mergeCell ref="J471:L471"/>
    <mergeCell ref="M471:N471"/>
    <mergeCell ref="O471:Q471"/>
    <mergeCell ref="AG471:AH471"/>
    <mergeCell ref="AL469:AM469"/>
    <mergeCell ref="AN469:AO469"/>
    <mergeCell ref="AS469:AT469"/>
    <mergeCell ref="AU469:AV469"/>
    <mergeCell ref="E470:F470"/>
    <mergeCell ref="G470:I470"/>
    <mergeCell ref="J470:L470"/>
    <mergeCell ref="M470:N470"/>
    <mergeCell ref="O470:Q470"/>
    <mergeCell ref="AG470:AH470"/>
    <mergeCell ref="AL472:AM472"/>
    <mergeCell ref="AN472:AO472"/>
    <mergeCell ref="AS472:AT472"/>
    <mergeCell ref="AU472:AV472"/>
    <mergeCell ref="E473:F473"/>
    <mergeCell ref="G473:I473"/>
    <mergeCell ref="J473:L473"/>
    <mergeCell ref="M473:N473"/>
    <mergeCell ref="O473:Q473"/>
    <mergeCell ref="AG473:AH473"/>
    <mergeCell ref="AL471:AM471"/>
    <mergeCell ref="AN471:AO471"/>
    <mergeCell ref="AS471:AT471"/>
    <mergeCell ref="AU471:AV471"/>
    <mergeCell ref="E472:F472"/>
    <mergeCell ref="G472:I472"/>
    <mergeCell ref="J472:L472"/>
    <mergeCell ref="M472:N472"/>
    <mergeCell ref="O472:Q472"/>
    <mergeCell ref="AG472:AH472"/>
    <mergeCell ref="AL474:AM474"/>
    <mergeCell ref="AN474:AO474"/>
    <mergeCell ref="AS474:AT474"/>
    <mergeCell ref="AU474:AV474"/>
    <mergeCell ref="E475:F475"/>
    <mergeCell ref="G475:I475"/>
    <mergeCell ref="J475:L475"/>
    <mergeCell ref="M475:N475"/>
    <mergeCell ref="O475:Q475"/>
    <mergeCell ref="AG475:AH475"/>
    <mergeCell ref="AL473:AM473"/>
    <mergeCell ref="AN473:AO473"/>
    <mergeCell ref="AS473:AT473"/>
    <mergeCell ref="AU473:AV473"/>
    <mergeCell ref="E474:F474"/>
    <mergeCell ref="G474:I474"/>
    <mergeCell ref="J474:L474"/>
    <mergeCell ref="M474:N474"/>
    <mergeCell ref="O474:Q474"/>
    <mergeCell ref="AG474:AH474"/>
    <mergeCell ref="AL476:AM476"/>
    <mergeCell ref="AN476:AO476"/>
    <mergeCell ref="AS476:AT476"/>
    <mergeCell ref="AU476:AV476"/>
    <mergeCell ref="E477:F477"/>
    <mergeCell ref="G477:I477"/>
    <mergeCell ref="J477:L477"/>
    <mergeCell ref="M477:N477"/>
    <mergeCell ref="O477:Q477"/>
    <mergeCell ref="AG477:AH477"/>
    <mergeCell ref="AL475:AM475"/>
    <mergeCell ref="AN475:AO475"/>
    <mergeCell ref="AS475:AT475"/>
    <mergeCell ref="AU475:AV475"/>
    <mergeCell ref="E476:F476"/>
    <mergeCell ref="G476:I476"/>
    <mergeCell ref="J476:L476"/>
    <mergeCell ref="M476:N476"/>
    <mergeCell ref="O476:Q476"/>
    <mergeCell ref="AG476:AH476"/>
    <mergeCell ref="BH478:BJ478"/>
    <mergeCell ref="E479:F479"/>
    <mergeCell ref="G479:I479"/>
    <mergeCell ref="J479:L479"/>
    <mergeCell ref="M479:N479"/>
    <mergeCell ref="O479:Q479"/>
    <mergeCell ref="AG479:AH479"/>
    <mergeCell ref="AL479:AM479"/>
    <mergeCell ref="AN479:AO479"/>
    <mergeCell ref="AS479:AT479"/>
    <mergeCell ref="BH477:BJ477"/>
    <mergeCell ref="E478:F478"/>
    <mergeCell ref="G478:I478"/>
    <mergeCell ref="J478:L478"/>
    <mergeCell ref="M478:N478"/>
    <mergeCell ref="O478:Q478"/>
    <mergeCell ref="AG478:AH478"/>
    <mergeCell ref="AL478:AM478"/>
    <mergeCell ref="AN478:AO478"/>
    <mergeCell ref="AS478:AT478"/>
    <mergeCell ref="AL477:AM477"/>
    <mergeCell ref="AN477:AO477"/>
    <mergeCell ref="AS477:AT477"/>
    <mergeCell ref="AU477:AV477"/>
    <mergeCell ref="AX477:BB480"/>
    <mergeCell ref="BC477:BG477"/>
    <mergeCell ref="AU478:AV478"/>
    <mergeCell ref="BC478:BG478"/>
    <mergeCell ref="AU479:AV479"/>
    <mergeCell ref="BC479:BG479"/>
    <mergeCell ref="AN481:AO481"/>
    <mergeCell ref="AS481:AT481"/>
    <mergeCell ref="AU481:AV481"/>
    <mergeCell ref="AX481:BB481"/>
    <mergeCell ref="BC481:BG481"/>
    <mergeCell ref="BH481:BJ481"/>
    <mergeCell ref="AU480:AV480"/>
    <mergeCell ref="BC480:BG480"/>
    <mergeCell ref="BH480:BJ480"/>
    <mergeCell ref="E481:F481"/>
    <mergeCell ref="G481:I481"/>
    <mergeCell ref="J481:L481"/>
    <mergeCell ref="M481:N481"/>
    <mergeCell ref="O481:Q481"/>
    <mergeCell ref="AG481:AH481"/>
    <mergeCell ref="AL481:AM481"/>
    <mergeCell ref="BH479:BJ479"/>
    <mergeCell ref="E480:F480"/>
    <mergeCell ref="G480:I480"/>
    <mergeCell ref="J480:L480"/>
    <mergeCell ref="M480:N480"/>
    <mergeCell ref="O480:Q480"/>
    <mergeCell ref="AG480:AH480"/>
    <mergeCell ref="AL480:AM480"/>
    <mergeCell ref="AN480:AO480"/>
    <mergeCell ref="AS480:AT480"/>
    <mergeCell ref="BH482:BJ482"/>
    <mergeCell ref="E483:F483"/>
    <mergeCell ref="G483:I483"/>
    <mergeCell ref="J483:L483"/>
    <mergeCell ref="M483:N483"/>
    <mergeCell ref="O483:Q483"/>
    <mergeCell ref="AG483:AH483"/>
    <mergeCell ref="AL483:AM483"/>
    <mergeCell ref="AN483:AO483"/>
    <mergeCell ref="AS483:AT483"/>
    <mergeCell ref="AL482:AM482"/>
    <mergeCell ref="AN482:AO482"/>
    <mergeCell ref="AS482:AT482"/>
    <mergeCell ref="AU482:AV482"/>
    <mergeCell ref="AX482:BB482"/>
    <mergeCell ref="BC482:BG482"/>
    <mergeCell ref="E482:F482"/>
    <mergeCell ref="G482:I482"/>
    <mergeCell ref="J482:L482"/>
    <mergeCell ref="M482:N482"/>
    <mergeCell ref="O482:Q482"/>
    <mergeCell ref="AG482:AH482"/>
    <mergeCell ref="E486:F486"/>
    <mergeCell ref="H486:I486"/>
    <mergeCell ref="K486:L486"/>
    <mergeCell ref="U486:V486"/>
    <mergeCell ref="BC486:BG486"/>
    <mergeCell ref="BH486:BJ486"/>
    <mergeCell ref="BC484:BG484"/>
    <mergeCell ref="BH484:BJ484"/>
    <mergeCell ref="AL485:AM485"/>
    <mergeCell ref="AN485:AO485"/>
    <mergeCell ref="AX485:BB486"/>
    <mergeCell ref="BC485:BG485"/>
    <mergeCell ref="BH485:BJ485"/>
    <mergeCell ref="AU483:AV483"/>
    <mergeCell ref="AX483:BB483"/>
    <mergeCell ref="BC483:BG483"/>
    <mergeCell ref="BH483:BJ483"/>
    <mergeCell ref="AG484:AH484"/>
    <mergeCell ref="AL484:AM484"/>
    <mergeCell ref="AN484:AO484"/>
    <mergeCell ref="AS484:AT484"/>
    <mergeCell ref="AU484:AV484"/>
    <mergeCell ref="AX484:BB484"/>
    <mergeCell ref="BC487:BG487"/>
    <mergeCell ref="BH487:BJ487"/>
    <mergeCell ref="AX488:BB488"/>
    <mergeCell ref="BC488:BG488"/>
    <mergeCell ref="BH488:BJ488"/>
    <mergeCell ref="K487:L488"/>
    <mergeCell ref="M487:M488"/>
    <mergeCell ref="N487:Q488"/>
    <mergeCell ref="R487:S488"/>
    <mergeCell ref="T487:T488"/>
    <mergeCell ref="U487:W488"/>
    <mergeCell ref="C487:C488"/>
    <mergeCell ref="D487:D488"/>
    <mergeCell ref="E487:F488"/>
    <mergeCell ref="G487:G488"/>
    <mergeCell ref="H487:I488"/>
    <mergeCell ref="J487:J488"/>
    <mergeCell ref="I491:J492"/>
    <mergeCell ref="K491:K492"/>
    <mergeCell ref="L491:P491"/>
    <mergeCell ref="L489:P489"/>
    <mergeCell ref="Q489:Q490"/>
    <mergeCell ref="U489:W489"/>
    <mergeCell ref="L490:M490"/>
    <mergeCell ref="O490:P490"/>
    <mergeCell ref="U490:W490"/>
    <mergeCell ref="D489:D490"/>
    <mergeCell ref="E489:E490"/>
    <mergeCell ref="F489:G490"/>
    <mergeCell ref="H489:H490"/>
    <mergeCell ref="I489:J490"/>
    <mergeCell ref="K489:K490"/>
    <mergeCell ref="X487:Y488"/>
    <mergeCell ref="AX487:BB487"/>
    <mergeCell ref="B496:R496"/>
    <mergeCell ref="S496:Z496"/>
    <mergeCell ref="B497:R497"/>
    <mergeCell ref="S497:Z497"/>
    <mergeCell ref="B498:R498"/>
    <mergeCell ref="S498:Z498"/>
    <mergeCell ref="R493:R494"/>
    <mergeCell ref="T493:T494"/>
    <mergeCell ref="U493:W494"/>
    <mergeCell ref="BH493:BJ493"/>
    <mergeCell ref="O494:Q494"/>
    <mergeCell ref="BH494:BJ494"/>
    <mergeCell ref="BH492:BJ492"/>
    <mergeCell ref="D493:D494"/>
    <mergeCell ref="E493:E494"/>
    <mergeCell ref="F493:G494"/>
    <mergeCell ref="H493:H494"/>
    <mergeCell ref="I493:J494"/>
    <mergeCell ref="K493:K494"/>
    <mergeCell ref="L493:M494"/>
    <mergeCell ref="N493:N494"/>
    <mergeCell ref="O493:Q493"/>
    <mergeCell ref="Q491:Q492"/>
    <mergeCell ref="T491:T492"/>
    <mergeCell ref="U491:W492"/>
    <mergeCell ref="X491:Y492"/>
    <mergeCell ref="AI491:AJ491"/>
    <mergeCell ref="L492:M492"/>
    <mergeCell ref="O492:P492"/>
    <mergeCell ref="E491:E492"/>
    <mergeCell ref="F491:G492"/>
    <mergeCell ref="H491:H492"/>
    <mergeCell ref="AE507:AJ507"/>
    <mergeCell ref="AK507:AM507"/>
    <mergeCell ref="C508:F508"/>
    <mergeCell ref="G508:I508"/>
    <mergeCell ref="J508:L508"/>
    <mergeCell ref="M508:Q508"/>
    <mergeCell ref="R508:T508"/>
    <mergeCell ref="U508:X508"/>
    <mergeCell ref="AE508:AJ508"/>
    <mergeCell ref="AK508:AM508"/>
    <mergeCell ref="C507:F507"/>
    <mergeCell ref="G507:I507"/>
    <mergeCell ref="J507:L507"/>
    <mergeCell ref="M507:Q507"/>
    <mergeCell ref="R507:T507"/>
    <mergeCell ref="U507:X507"/>
    <mergeCell ref="B504:C505"/>
    <mergeCell ref="D504:D505"/>
    <mergeCell ref="E504:H504"/>
    <mergeCell ref="O504:O505"/>
    <mergeCell ref="P504:P505"/>
    <mergeCell ref="Q504:W504"/>
    <mergeCell ref="E505:H505"/>
    <mergeCell ref="Q505:W505"/>
    <mergeCell ref="R512:R513"/>
    <mergeCell ref="T512:U513"/>
    <mergeCell ref="V512:W513"/>
    <mergeCell ref="E513:H513"/>
    <mergeCell ref="K513:P513"/>
    <mergeCell ref="B520:D520"/>
    <mergeCell ref="E520:G520"/>
    <mergeCell ref="H520:K520"/>
    <mergeCell ref="L520:M520"/>
    <mergeCell ref="N520:P520"/>
    <mergeCell ref="V510:V511"/>
    <mergeCell ref="W510:Z511"/>
    <mergeCell ref="N511:O511"/>
    <mergeCell ref="S511:T511"/>
    <mergeCell ref="B512:C513"/>
    <mergeCell ref="D512:D513"/>
    <mergeCell ref="E512:H512"/>
    <mergeCell ref="I512:I513"/>
    <mergeCell ref="K512:M512"/>
    <mergeCell ref="O512:P512"/>
    <mergeCell ref="B510:C511"/>
    <mergeCell ref="D510:D511"/>
    <mergeCell ref="E510:I510"/>
    <mergeCell ref="J510:J511"/>
    <mergeCell ref="K510:M510"/>
    <mergeCell ref="R510:T510"/>
    <mergeCell ref="W521:Y521"/>
    <mergeCell ref="B523:D526"/>
    <mergeCell ref="E523:F524"/>
    <mergeCell ref="G523:I524"/>
    <mergeCell ref="J523:L524"/>
    <mergeCell ref="M523:N524"/>
    <mergeCell ref="O523:Q524"/>
    <mergeCell ref="Q520:S520"/>
    <mergeCell ref="T520:V520"/>
    <mergeCell ref="W520:Y520"/>
    <mergeCell ref="B521:D521"/>
    <mergeCell ref="E521:G521"/>
    <mergeCell ref="H521:K521"/>
    <mergeCell ref="L521:M521"/>
    <mergeCell ref="N521:P521"/>
    <mergeCell ref="Q521:S521"/>
    <mergeCell ref="T521:V521"/>
    <mergeCell ref="AX525:AX526"/>
    <mergeCell ref="AY525:AY526"/>
    <mergeCell ref="E527:F527"/>
    <mergeCell ref="G527:I527"/>
    <mergeCell ref="J527:L527"/>
    <mergeCell ref="M527:N527"/>
    <mergeCell ref="O527:Q527"/>
    <mergeCell ref="AG527:AH527"/>
    <mergeCell ref="AL527:AM527"/>
    <mergeCell ref="AN527:AO527"/>
    <mergeCell ref="AK525:AK526"/>
    <mergeCell ref="AM525:AM526"/>
    <mergeCell ref="AO525:AO526"/>
    <mergeCell ref="AQ525:AQ526"/>
    <mergeCell ref="AS525:AT526"/>
    <mergeCell ref="AU525:AV526"/>
    <mergeCell ref="AL524:AM524"/>
    <mergeCell ref="AN524:AO524"/>
    <mergeCell ref="E525:F526"/>
    <mergeCell ref="G525:I526"/>
    <mergeCell ref="J525:L526"/>
    <mergeCell ref="M525:N526"/>
    <mergeCell ref="O525:Q526"/>
    <mergeCell ref="AD525:AF526"/>
    <mergeCell ref="AG525:AH526"/>
    <mergeCell ref="AJ525:AJ526"/>
    <mergeCell ref="AS528:AT528"/>
    <mergeCell ref="AU528:AV528"/>
    <mergeCell ref="E529:F529"/>
    <mergeCell ref="G529:I529"/>
    <mergeCell ref="J529:L529"/>
    <mergeCell ref="M529:N529"/>
    <mergeCell ref="O529:Q529"/>
    <mergeCell ref="AG529:AH529"/>
    <mergeCell ref="AL529:AM529"/>
    <mergeCell ref="AN529:AO529"/>
    <mergeCell ref="AS527:AT527"/>
    <mergeCell ref="AU527:AV527"/>
    <mergeCell ref="E528:F528"/>
    <mergeCell ref="G528:I528"/>
    <mergeCell ref="J528:L528"/>
    <mergeCell ref="M528:N528"/>
    <mergeCell ref="O528:Q528"/>
    <mergeCell ref="AG528:AH528"/>
    <mergeCell ref="AL528:AM528"/>
    <mergeCell ref="AN528:AO528"/>
    <mergeCell ref="AS530:AT530"/>
    <mergeCell ref="AU530:AV530"/>
    <mergeCell ref="E531:F531"/>
    <mergeCell ref="G531:I531"/>
    <mergeCell ref="J531:L531"/>
    <mergeCell ref="M531:N531"/>
    <mergeCell ref="O531:Q531"/>
    <mergeCell ref="AG531:AH531"/>
    <mergeCell ref="AL531:AM531"/>
    <mergeCell ref="AN531:AO531"/>
    <mergeCell ref="AS529:AT529"/>
    <mergeCell ref="AU529:AV529"/>
    <mergeCell ref="E530:F530"/>
    <mergeCell ref="G530:I530"/>
    <mergeCell ref="J530:L530"/>
    <mergeCell ref="M530:N530"/>
    <mergeCell ref="O530:Q530"/>
    <mergeCell ref="AG530:AH530"/>
    <mergeCell ref="AL530:AM530"/>
    <mergeCell ref="AN530:AO530"/>
    <mergeCell ref="AS532:AT532"/>
    <mergeCell ref="AU532:AV532"/>
    <mergeCell ref="E533:F533"/>
    <mergeCell ref="G533:I533"/>
    <mergeCell ref="J533:L533"/>
    <mergeCell ref="M533:N533"/>
    <mergeCell ref="O533:Q533"/>
    <mergeCell ref="AG533:AH533"/>
    <mergeCell ref="AL533:AM533"/>
    <mergeCell ref="AN533:AO533"/>
    <mergeCell ref="AS531:AT531"/>
    <mergeCell ref="AU531:AV531"/>
    <mergeCell ref="E532:F532"/>
    <mergeCell ref="G532:I532"/>
    <mergeCell ref="J532:L532"/>
    <mergeCell ref="M532:N532"/>
    <mergeCell ref="O532:Q532"/>
    <mergeCell ref="AG532:AH532"/>
    <mergeCell ref="AL532:AM532"/>
    <mergeCell ref="AN532:AO532"/>
    <mergeCell ref="AS534:AT534"/>
    <mergeCell ref="AU534:AV534"/>
    <mergeCell ref="E535:F535"/>
    <mergeCell ref="G535:I535"/>
    <mergeCell ref="J535:L535"/>
    <mergeCell ref="M535:N535"/>
    <mergeCell ref="O535:Q535"/>
    <mergeCell ref="AG535:AH535"/>
    <mergeCell ref="AL535:AM535"/>
    <mergeCell ref="AN535:AO535"/>
    <mergeCell ref="AS533:AT533"/>
    <mergeCell ref="AU533:AV533"/>
    <mergeCell ref="E534:F534"/>
    <mergeCell ref="G534:I534"/>
    <mergeCell ref="J534:L534"/>
    <mergeCell ref="M534:N534"/>
    <mergeCell ref="O534:Q534"/>
    <mergeCell ref="AG534:AH534"/>
    <mergeCell ref="AL534:AM534"/>
    <mergeCell ref="AN534:AO534"/>
    <mergeCell ref="AS536:AT536"/>
    <mergeCell ref="AU536:AV536"/>
    <mergeCell ref="E537:F537"/>
    <mergeCell ref="G537:I537"/>
    <mergeCell ref="J537:L537"/>
    <mergeCell ref="M537:N537"/>
    <mergeCell ref="O537:Q537"/>
    <mergeCell ref="AG537:AH537"/>
    <mergeCell ref="AL537:AM537"/>
    <mergeCell ref="AN537:AO537"/>
    <mergeCell ref="AS535:AT535"/>
    <mergeCell ref="AU535:AV535"/>
    <mergeCell ref="E536:F536"/>
    <mergeCell ref="G536:I536"/>
    <mergeCell ref="J536:L536"/>
    <mergeCell ref="M536:N536"/>
    <mergeCell ref="O536:Q536"/>
    <mergeCell ref="AG536:AH536"/>
    <mergeCell ref="AL536:AM536"/>
    <mergeCell ref="AN536:AO536"/>
    <mergeCell ref="AS538:AT538"/>
    <mergeCell ref="AU538:AV538"/>
    <mergeCell ref="E539:F539"/>
    <mergeCell ref="G539:I539"/>
    <mergeCell ref="J539:L539"/>
    <mergeCell ref="M539:N539"/>
    <mergeCell ref="O539:Q539"/>
    <mergeCell ref="AG539:AH539"/>
    <mergeCell ref="AL539:AM539"/>
    <mergeCell ref="AN539:AO539"/>
    <mergeCell ref="AS537:AT537"/>
    <mergeCell ref="AU537:AV537"/>
    <mergeCell ref="E538:F538"/>
    <mergeCell ref="G538:I538"/>
    <mergeCell ref="J538:L538"/>
    <mergeCell ref="M538:N538"/>
    <mergeCell ref="O538:Q538"/>
    <mergeCell ref="AG538:AH538"/>
    <mergeCell ref="AL538:AM538"/>
    <mergeCell ref="AN538:AO538"/>
    <mergeCell ref="AS540:AT540"/>
    <mergeCell ref="AU540:AV540"/>
    <mergeCell ref="E541:F541"/>
    <mergeCell ref="G541:I541"/>
    <mergeCell ref="J541:L541"/>
    <mergeCell ref="M541:N541"/>
    <mergeCell ref="O541:Q541"/>
    <mergeCell ref="AG541:AH541"/>
    <mergeCell ref="AL541:AM541"/>
    <mergeCell ref="AN541:AO541"/>
    <mergeCell ref="AS539:AT539"/>
    <mergeCell ref="AU539:AV539"/>
    <mergeCell ref="E540:F540"/>
    <mergeCell ref="G540:I540"/>
    <mergeCell ref="J540:L540"/>
    <mergeCell ref="M540:N540"/>
    <mergeCell ref="O540:Q540"/>
    <mergeCell ref="AG540:AH540"/>
    <mergeCell ref="AL540:AM540"/>
    <mergeCell ref="AN540:AO540"/>
    <mergeCell ref="AS542:AT542"/>
    <mergeCell ref="AU542:AV542"/>
    <mergeCell ref="E543:F543"/>
    <mergeCell ref="G543:I543"/>
    <mergeCell ref="J543:L543"/>
    <mergeCell ref="M543:N543"/>
    <mergeCell ref="O543:Q543"/>
    <mergeCell ref="AG543:AH543"/>
    <mergeCell ref="AL543:AM543"/>
    <mergeCell ref="AN543:AO543"/>
    <mergeCell ref="AS541:AT541"/>
    <mergeCell ref="AU541:AV541"/>
    <mergeCell ref="E542:F542"/>
    <mergeCell ref="G542:I542"/>
    <mergeCell ref="J542:L542"/>
    <mergeCell ref="M542:N542"/>
    <mergeCell ref="O542:Q542"/>
    <mergeCell ref="AG542:AH542"/>
    <mergeCell ref="AL542:AM542"/>
    <mergeCell ref="AN542:AO542"/>
    <mergeCell ref="AS544:AT544"/>
    <mergeCell ref="AU544:AV544"/>
    <mergeCell ref="E545:F545"/>
    <mergeCell ref="G545:I545"/>
    <mergeCell ref="J545:L545"/>
    <mergeCell ref="M545:N545"/>
    <mergeCell ref="O545:Q545"/>
    <mergeCell ref="AG545:AH545"/>
    <mergeCell ref="AL545:AM545"/>
    <mergeCell ref="AN545:AO545"/>
    <mergeCell ref="AS543:AT543"/>
    <mergeCell ref="AU543:AV543"/>
    <mergeCell ref="E544:F544"/>
    <mergeCell ref="G544:I544"/>
    <mergeCell ref="J544:L544"/>
    <mergeCell ref="M544:N544"/>
    <mergeCell ref="O544:Q544"/>
    <mergeCell ref="AG544:AH544"/>
    <mergeCell ref="AL544:AM544"/>
    <mergeCell ref="AN544:AO544"/>
    <mergeCell ref="AS546:AT546"/>
    <mergeCell ref="AU546:AV546"/>
    <mergeCell ref="E547:F547"/>
    <mergeCell ref="G547:I547"/>
    <mergeCell ref="J547:L547"/>
    <mergeCell ref="M547:N547"/>
    <mergeCell ref="O547:Q547"/>
    <mergeCell ref="AG547:AH547"/>
    <mergeCell ref="AL547:AM547"/>
    <mergeCell ref="AN547:AO547"/>
    <mergeCell ref="AS545:AT545"/>
    <mergeCell ref="AU545:AV545"/>
    <mergeCell ref="E546:F546"/>
    <mergeCell ref="G546:I546"/>
    <mergeCell ref="J546:L546"/>
    <mergeCell ref="M546:N546"/>
    <mergeCell ref="O546:Q546"/>
    <mergeCell ref="AG546:AH546"/>
    <mergeCell ref="AL546:AM546"/>
    <mergeCell ref="AN546:AO546"/>
    <mergeCell ref="AS548:AT548"/>
    <mergeCell ref="AU548:AV548"/>
    <mergeCell ref="E549:F549"/>
    <mergeCell ref="G549:I549"/>
    <mergeCell ref="J549:L549"/>
    <mergeCell ref="M549:N549"/>
    <mergeCell ref="O549:Q549"/>
    <mergeCell ref="AG549:AH549"/>
    <mergeCell ref="AL549:AM549"/>
    <mergeCell ref="AN549:AO549"/>
    <mergeCell ref="AS547:AT547"/>
    <mergeCell ref="AU547:AV547"/>
    <mergeCell ref="E548:F548"/>
    <mergeCell ref="G548:I548"/>
    <mergeCell ref="J548:L548"/>
    <mergeCell ref="M548:N548"/>
    <mergeCell ref="O548:Q548"/>
    <mergeCell ref="AG548:AH548"/>
    <mergeCell ref="AL548:AM548"/>
    <mergeCell ref="AN548:AO548"/>
    <mergeCell ref="AS550:AT550"/>
    <mergeCell ref="AU550:AV550"/>
    <mergeCell ref="E551:F551"/>
    <mergeCell ref="G551:I551"/>
    <mergeCell ref="J551:L551"/>
    <mergeCell ref="M551:N551"/>
    <mergeCell ref="O551:Q551"/>
    <mergeCell ref="AG551:AH551"/>
    <mergeCell ref="AL551:AM551"/>
    <mergeCell ref="AN551:AO551"/>
    <mergeCell ref="AS549:AT549"/>
    <mergeCell ref="AU549:AV549"/>
    <mergeCell ref="E550:F550"/>
    <mergeCell ref="G550:I550"/>
    <mergeCell ref="J550:L550"/>
    <mergeCell ref="M550:N550"/>
    <mergeCell ref="O550:Q550"/>
    <mergeCell ref="AG550:AH550"/>
    <mergeCell ref="AL550:AM550"/>
    <mergeCell ref="AN550:AO550"/>
    <mergeCell ref="AS552:AT552"/>
    <mergeCell ref="AU552:AV552"/>
    <mergeCell ref="E553:F553"/>
    <mergeCell ref="G553:I553"/>
    <mergeCell ref="J553:L553"/>
    <mergeCell ref="M553:N553"/>
    <mergeCell ref="O553:Q553"/>
    <mergeCell ref="AG553:AH553"/>
    <mergeCell ref="AL553:AM553"/>
    <mergeCell ref="AN553:AO553"/>
    <mergeCell ref="AS551:AT551"/>
    <mergeCell ref="AU551:AV551"/>
    <mergeCell ref="E552:F552"/>
    <mergeCell ref="G552:I552"/>
    <mergeCell ref="J552:L552"/>
    <mergeCell ref="M552:N552"/>
    <mergeCell ref="O552:Q552"/>
    <mergeCell ref="AG552:AH552"/>
    <mergeCell ref="AL552:AM552"/>
    <mergeCell ref="AN552:AO552"/>
    <mergeCell ref="AS554:AT554"/>
    <mergeCell ref="AU554:AV554"/>
    <mergeCell ref="AG555:AH555"/>
    <mergeCell ref="AL555:AM555"/>
    <mergeCell ref="AN555:AO555"/>
    <mergeCell ref="AS555:AT555"/>
    <mergeCell ref="AU555:AV555"/>
    <mergeCell ref="AS553:AT553"/>
    <mergeCell ref="AU553:AV553"/>
    <mergeCell ref="E554:F554"/>
    <mergeCell ref="G554:I554"/>
    <mergeCell ref="J554:L554"/>
    <mergeCell ref="M554:N554"/>
    <mergeCell ref="O554:Q554"/>
    <mergeCell ref="AG554:AH554"/>
    <mergeCell ref="AL554:AM554"/>
    <mergeCell ref="AN554:AO554"/>
    <mergeCell ref="AG556:AH556"/>
    <mergeCell ref="AL556:AM556"/>
    <mergeCell ref="AN556:AO556"/>
    <mergeCell ref="AS556:AT556"/>
    <mergeCell ref="AU556:AV556"/>
    <mergeCell ref="AL557:AM557"/>
    <mergeCell ref="AN557:AO557"/>
    <mergeCell ref="Q556:Q557"/>
    <mergeCell ref="R556:R557"/>
    <mergeCell ref="S556:T557"/>
    <mergeCell ref="U556:U557"/>
    <mergeCell ref="V556:X557"/>
    <mergeCell ref="Y556:Y557"/>
    <mergeCell ref="BA555:BE555"/>
    <mergeCell ref="C556:C557"/>
    <mergeCell ref="D556:D557"/>
    <mergeCell ref="E556:F557"/>
    <mergeCell ref="G556:G557"/>
    <mergeCell ref="H556:I557"/>
    <mergeCell ref="J556:J557"/>
    <mergeCell ref="K556:L557"/>
    <mergeCell ref="M556:M557"/>
    <mergeCell ref="N556:P557"/>
    <mergeCell ref="N574:O574"/>
    <mergeCell ref="Q574:R574"/>
    <mergeCell ref="T574:U574"/>
    <mergeCell ref="D577:D578"/>
    <mergeCell ref="H577:K577"/>
    <mergeCell ref="N577:O577"/>
    <mergeCell ref="P577:Q577"/>
    <mergeCell ref="R577:S577"/>
    <mergeCell ref="AI562:AJ562"/>
    <mergeCell ref="AY567:AZ567"/>
    <mergeCell ref="C571:C572"/>
    <mergeCell ref="D571:D572"/>
    <mergeCell ref="E571:I571"/>
    <mergeCell ref="V571:V572"/>
    <mergeCell ref="W571:X572"/>
    <mergeCell ref="Y571:Z572"/>
    <mergeCell ref="E572:I572"/>
    <mergeCell ref="L581:P581"/>
    <mergeCell ref="Q581:Q582"/>
    <mergeCell ref="U581:W581"/>
    <mergeCell ref="L582:M582"/>
    <mergeCell ref="O582:P582"/>
    <mergeCell ref="U582:W582"/>
    <mergeCell ref="D581:D582"/>
    <mergeCell ref="E581:E582"/>
    <mergeCell ref="F581:G582"/>
    <mergeCell ref="H581:H582"/>
    <mergeCell ref="I581:J582"/>
    <mergeCell ref="K581:K582"/>
    <mergeCell ref="V577:V578"/>
    <mergeCell ref="W577:X578"/>
    <mergeCell ref="Y577:Z578"/>
    <mergeCell ref="F578:H578"/>
    <mergeCell ref="J578:K578"/>
    <mergeCell ref="M578:N578"/>
    <mergeCell ref="P578:Q578"/>
    <mergeCell ref="S578:T578"/>
    <mergeCell ref="D585:D586"/>
    <mergeCell ref="E585:E586"/>
    <mergeCell ref="F585:G586"/>
    <mergeCell ref="H585:H586"/>
    <mergeCell ref="I585:J586"/>
    <mergeCell ref="K585:K586"/>
    <mergeCell ref="Q583:Q584"/>
    <mergeCell ref="T583:T584"/>
    <mergeCell ref="U583:W584"/>
    <mergeCell ref="X583:Y584"/>
    <mergeCell ref="L584:M584"/>
    <mergeCell ref="O584:P584"/>
    <mergeCell ref="E583:E584"/>
    <mergeCell ref="F583:G584"/>
    <mergeCell ref="H583:H584"/>
    <mergeCell ref="I583:J584"/>
    <mergeCell ref="K583:K584"/>
    <mergeCell ref="L583:P583"/>
    <mergeCell ref="L590:M590"/>
    <mergeCell ref="O590:P590"/>
    <mergeCell ref="R590:S590"/>
    <mergeCell ref="W590:Y590"/>
    <mergeCell ref="E598:G598"/>
    <mergeCell ref="I598:J598"/>
    <mergeCell ref="M598:N598"/>
    <mergeCell ref="P598:R598"/>
    <mergeCell ref="T598:U598"/>
    <mergeCell ref="W598:X598"/>
    <mergeCell ref="L585:M586"/>
    <mergeCell ref="N585:N586"/>
    <mergeCell ref="O585:Q585"/>
    <mergeCell ref="R585:R586"/>
    <mergeCell ref="T585:T586"/>
    <mergeCell ref="U585:W586"/>
    <mergeCell ref="O586:Q586"/>
    <mergeCell ref="C607:F607"/>
    <mergeCell ref="G607:H607"/>
    <mergeCell ref="I607:J607"/>
    <mergeCell ref="K607:L607"/>
    <mergeCell ref="M607:N607"/>
    <mergeCell ref="O607:P607"/>
    <mergeCell ref="BU605:BU606"/>
    <mergeCell ref="C606:F606"/>
    <mergeCell ref="G606:H606"/>
    <mergeCell ref="I606:J606"/>
    <mergeCell ref="K606:L606"/>
    <mergeCell ref="M606:N606"/>
    <mergeCell ref="O606:P606"/>
    <mergeCell ref="T601:V601"/>
    <mergeCell ref="C604:F605"/>
    <mergeCell ref="G604:H605"/>
    <mergeCell ref="I604:P604"/>
    <mergeCell ref="I605:J605"/>
    <mergeCell ref="K605:L605"/>
    <mergeCell ref="M605:N605"/>
    <mergeCell ref="O605:P605"/>
    <mergeCell ref="O608:P608"/>
    <mergeCell ref="E609:F609"/>
    <mergeCell ref="G609:H609"/>
    <mergeCell ref="I609:J609"/>
    <mergeCell ref="K609:L609"/>
    <mergeCell ref="M609:N609"/>
    <mergeCell ref="O609:P609"/>
    <mergeCell ref="C608:D610"/>
    <mergeCell ref="E608:F608"/>
    <mergeCell ref="G608:H608"/>
    <mergeCell ref="I608:J608"/>
    <mergeCell ref="K608:L608"/>
    <mergeCell ref="M608:N608"/>
    <mergeCell ref="E610:F610"/>
    <mergeCell ref="G610:H610"/>
    <mergeCell ref="I610:J610"/>
    <mergeCell ref="K610:L610"/>
    <mergeCell ref="B621:F621"/>
    <mergeCell ref="G621:J621"/>
    <mergeCell ref="K621:N621"/>
    <mergeCell ref="O621:R621"/>
    <mergeCell ref="S621:V621"/>
    <mergeCell ref="W621:Z621"/>
    <mergeCell ref="AE615:AF615"/>
    <mergeCell ref="B620:F620"/>
    <mergeCell ref="G620:J620"/>
    <mergeCell ref="K620:N620"/>
    <mergeCell ref="O620:R620"/>
    <mergeCell ref="S620:V620"/>
    <mergeCell ref="W620:Z620"/>
    <mergeCell ref="M610:N610"/>
    <mergeCell ref="O610:P610"/>
    <mergeCell ref="L615:M615"/>
    <mergeCell ref="O615:P615"/>
    <mergeCell ref="R615:S615"/>
    <mergeCell ref="W615:Y615"/>
    <mergeCell ref="B636:F636"/>
    <mergeCell ref="G636:J636"/>
    <mergeCell ref="K636:N636"/>
    <mergeCell ref="O636:R636"/>
    <mergeCell ref="S636:W636"/>
    <mergeCell ref="X636:Z636"/>
    <mergeCell ref="B634:F635"/>
    <mergeCell ref="G634:N634"/>
    <mergeCell ref="O634:R634"/>
    <mergeCell ref="S634:W634"/>
    <mergeCell ref="X634:Z634"/>
    <mergeCell ref="G635:J635"/>
    <mergeCell ref="K635:N635"/>
    <mergeCell ref="O635:R635"/>
    <mergeCell ref="S635:W635"/>
    <mergeCell ref="X635:Z635"/>
    <mergeCell ref="B625:R625"/>
    <mergeCell ref="S625:Z625"/>
    <mergeCell ref="B626:R626"/>
    <mergeCell ref="S626:Z626"/>
    <mergeCell ref="B627:R627"/>
    <mergeCell ref="S627:Z627"/>
    <mergeCell ref="B643:D643"/>
    <mergeCell ref="E643:K643"/>
    <mergeCell ref="L643:Q643"/>
    <mergeCell ref="R643:W643"/>
    <mergeCell ref="X643:Z643"/>
    <mergeCell ref="B644:D644"/>
    <mergeCell ref="E644:K644"/>
    <mergeCell ref="L644:Q644"/>
    <mergeCell ref="R644:W644"/>
    <mergeCell ref="X644:Z644"/>
    <mergeCell ref="X639:Z639"/>
    <mergeCell ref="B640:C640"/>
    <mergeCell ref="D640:G640"/>
    <mergeCell ref="H640:K640"/>
    <mergeCell ref="L640:O640"/>
    <mergeCell ref="P640:S640"/>
    <mergeCell ref="T640:W640"/>
    <mergeCell ref="X640:Z640"/>
    <mergeCell ref="B639:C639"/>
    <mergeCell ref="D639:G639"/>
    <mergeCell ref="H639:K639"/>
    <mergeCell ref="L639:O639"/>
    <mergeCell ref="P639:S639"/>
    <mergeCell ref="T639:W639"/>
    <mergeCell ref="B649:G649"/>
    <mergeCell ref="H649:O649"/>
    <mergeCell ref="P649:V649"/>
    <mergeCell ref="W649:Z649"/>
    <mergeCell ref="B650:G650"/>
    <mergeCell ref="H650:O650"/>
    <mergeCell ref="P650:V650"/>
    <mergeCell ref="W650:Z650"/>
    <mergeCell ref="B645:D645"/>
    <mergeCell ref="E645:K645"/>
    <mergeCell ref="L645:Q645"/>
    <mergeCell ref="R645:W645"/>
    <mergeCell ref="X645:Z645"/>
    <mergeCell ref="B648:G648"/>
    <mergeCell ref="H648:O648"/>
    <mergeCell ref="P648:V648"/>
    <mergeCell ref="W648:Z648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7" orientation="portrait" r:id="rId1"/>
  <headerFooter>
    <oddFooter>&amp;L * 본 검토서 및 계산서는 (사)대한토목학회( &amp;G )의 연구를 통해 검증된 페블테크의 물성 및 계산식에 따라 산출 되었습니다.&amp;G</oddFooter>
  </headerFooter>
  <rowBreaks count="14" manualBreakCount="14">
    <brk id="41" max="26" man="1"/>
    <brk id="87" max="26" man="1"/>
    <brk id="136" max="26" man="1"/>
    <brk id="188" max="26" man="1"/>
    <brk id="233" max="26" man="1"/>
    <brk id="291" max="26" man="1"/>
    <brk id="332" max="26" man="1"/>
    <brk id="364" max="26" man="1"/>
    <brk id="402" max="26" man="1"/>
    <brk id="448" max="26" man="1"/>
    <brk id="499" max="26" man="1"/>
    <brk id="557" max="26" man="1"/>
    <brk id="594" max="26" man="1"/>
    <brk id="629" max="26" man="1"/>
  </rowBreaks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4598-135F-4BF3-9284-D44551E6BEC8}">
  <sheetPr>
    <tabColor rgb="FF00B050"/>
  </sheetPr>
  <dimension ref="A1:AD36"/>
  <sheetViews>
    <sheetView view="pageBreakPreview" zoomScale="115" zoomScaleNormal="100" zoomScaleSheetLayoutView="115" workbookViewId="0">
      <selection sqref="A1:XFD1048576"/>
    </sheetView>
  </sheetViews>
  <sheetFormatPr defaultColWidth="2.875" defaultRowHeight="15" customHeight="1"/>
  <cols>
    <col min="1" max="1" width="3.625" style="3" customWidth="1"/>
    <col min="2" max="6" width="4" style="3" customWidth="1"/>
    <col min="7" max="28" width="3.125" style="3" customWidth="1"/>
    <col min="29" max="29" width="3.625" style="3" customWidth="1"/>
    <col min="30" max="30" width="1.375" style="3" customWidth="1"/>
    <col min="31" max="41" width="2.875" style="3"/>
    <col min="42" max="42" width="8.75" style="3" bestFit="1" customWidth="1"/>
    <col min="43" max="50" width="2.875" style="3"/>
    <col min="51" max="51" width="8.25" style="3" bestFit="1" customWidth="1"/>
    <col min="52" max="52" width="8.75" style="3" bestFit="1" customWidth="1"/>
    <col min="53" max="53" width="7.5" style="3" bestFit="1" customWidth="1"/>
    <col min="54" max="284" width="2.875" style="3"/>
    <col min="285" max="285" width="3.75" style="3" customWidth="1"/>
    <col min="286" max="297" width="2.875" style="3"/>
    <col min="298" max="298" width="8.75" style="3" bestFit="1" customWidth="1"/>
    <col min="299" max="306" width="2.875" style="3"/>
    <col min="307" max="307" width="8.25" style="3" bestFit="1" customWidth="1"/>
    <col min="308" max="308" width="8.75" style="3" bestFit="1" customWidth="1"/>
    <col min="309" max="309" width="7.5" style="3" bestFit="1" customWidth="1"/>
    <col min="310" max="540" width="2.875" style="3"/>
    <col min="541" max="541" width="3.75" style="3" customWidth="1"/>
    <col min="542" max="553" width="2.875" style="3"/>
    <col min="554" max="554" width="8.75" style="3" bestFit="1" customWidth="1"/>
    <col min="555" max="562" width="2.875" style="3"/>
    <col min="563" max="563" width="8.25" style="3" bestFit="1" customWidth="1"/>
    <col min="564" max="564" width="8.75" style="3" bestFit="1" customWidth="1"/>
    <col min="565" max="565" width="7.5" style="3" bestFit="1" customWidth="1"/>
    <col min="566" max="796" width="2.875" style="3"/>
    <col min="797" max="797" width="3.75" style="3" customWidth="1"/>
    <col min="798" max="809" width="2.875" style="3"/>
    <col min="810" max="810" width="8.75" style="3" bestFit="1" customWidth="1"/>
    <col min="811" max="818" width="2.875" style="3"/>
    <col min="819" max="819" width="8.25" style="3" bestFit="1" customWidth="1"/>
    <col min="820" max="820" width="8.75" style="3" bestFit="1" customWidth="1"/>
    <col min="821" max="821" width="7.5" style="3" bestFit="1" customWidth="1"/>
    <col min="822" max="1052" width="2.875" style="3"/>
    <col min="1053" max="1053" width="3.75" style="3" customWidth="1"/>
    <col min="1054" max="1065" width="2.875" style="3"/>
    <col min="1066" max="1066" width="8.75" style="3" bestFit="1" customWidth="1"/>
    <col min="1067" max="1074" width="2.875" style="3"/>
    <col min="1075" max="1075" width="8.25" style="3" bestFit="1" customWidth="1"/>
    <col min="1076" max="1076" width="8.75" style="3" bestFit="1" customWidth="1"/>
    <col min="1077" max="1077" width="7.5" style="3" bestFit="1" customWidth="1"/>
    <col min="1078" max="1308" width="2.875" style="3"/>
    <col min="1309" max="1309" width="3.75" style="3" customWidth="1"/>
    <col min="1310" max="1321" width="2.875" style="3"/>
    <col min="1322" max="1322" width="8.75" style="3" bestFit="1" customWidth="1"/>
    <col min="1323" max="1330" width="2.875" style="3"/>
    <col min="1331" max="1331" width="8.25" style="3" bestFit="1" customWidth="1"/>
    <col min="1332" max="1332" width="8.75" style="3" bestFit="1" customWidth="1"/>
    <col min="1333" max="1333" width="7.5" style="3" bestFit="1" customWidth="1"/>
    <col min="1334" max="1564" width="2.875" style="3"/>
    <col min="1565" max="1565" width="3.75" style="3" customWidth="1"/>
    <col min="1566" max="1577" width="2.875" style="3"/>
    <col min="1578" max="1578" width="8.75" style="3" bestFit="1" customWidth="1"/>
    <col min="1579" max="1586" width="2.875" style="3"/>
    <col min="1587" max="1587" width="8.25" style="3" bestFit="1" customWidth="1"/>
    <col min="1588" max="1588" width="8.75" style="3" bestFit="1" customWidth="1"/>
    <col min="1589" max="1589" width="7.5" style="3" bestFit="1" customWidth="1"/>
    <col min="1590" max="1820" width="2.875" style="3"/>
    <col min="1821" max="1821" width="3.75" style="3" customWidth="1"/>
    <col min="1822" max="1833" width="2.875" style="3"/>
    <col min="1834" max="1834" width="8.75" style="3" bestFit="1" customWidth="1"/>
    <col min="1835" max="1842" width="2.875" style="3"/>
    <col min="1843" max="1843" width="8.25" style="3" bestFit="1" customWidth="1"/>
    <col min="1844" max="1844" width="8.75" style="3" bestFit="1" customWidth="1"/>
    <col min="1845" max="1845" width="7.5" style="3" bestFit="1" customWidth="1"/>
    <col min="1846" max="2076" width="2.875" style="3"/>
    <col min="2077" max="2077" width="3.75" style="3" customWidth="1"/>
    <col min="2078" max="2089" width="2.875" style="3"/>
    <col min="2090" max="2090" width="8.75" style="3" bestFit="1" customWidth="1"/>
    <col min="2091" max="2098" width="2.875" style="3"/>
    <col min="2099" max="2099" width="8.25" style="3" bestFit="1" customWidth="1"/>
    <col min="2100" max="2100" width="8.75" style="3" bestFit="1" customWidth="1"/>
    <col min="2101" max="2101" width="7.5" style="3" bestFit="1" customWidth="1"/>
    <col min="2102" max="2332" width="2.875" style="3"/>
    <col min="2333" max="2333" width="3.75" style="3" customWidth="1"/>
    <col min="2334" max="2345" width="2.875" style="3"/>
    <col min="2346" max="2346" width="8.75" style="3" bestFit="1" customWidth="1"/>
    <col min="2347" max="2354" width="2.875" style="3"/>
    <col min="2355" max="2355" width="8.25" style="3" bestFit="1" customWidth="1"/>
    <col min="2356" max="2356" width="8.75" style="3" bestFit="1" customWidth="1"/>
    <col min="2357" max="2357" width="7.5" style="3" bestFit="1" customWidth="1"/>
    <col min="2358" max="2588" width="2.875" style="3"/>
    <col min="2589" max="2589" width="3.75" style="3" customWidth="1"/>
    <col min="2590" max="2601" width="2.875" style="3"/>
    <col min="2602" max="2602" width="8.75" style="3" bestFit="1" customWidth="1"/>
    <col min="2603" max="2610" width="2.875" style="3"/>
    <col min="2611" max="2611" width="8.25" style="3" bestFit="1" customWidth="1"/>
    <col min="2612" max="2612" width="8.75" style="3" bestFit="1" customWidth="1"/>
    <col min="2613" max="2613" width="7.5" style="3" bestFit="1" customWidth="1"/>
    <col min="2614" max="2844" width="2.875" style="3"/>
    <col min="2845" max="2845" width="3.75" style="3" customWidth="1"/>
    <col min="2846" max="2857" width="2.875" style="3"/>
    <col min="2858" max="2858" width="8.75" style="3" bestFit="1" customWidth="1"/>
    <col min="2859" max="2866" width="2.875" style="3"/>
    <col min="2867" max="2867" width="8.25" style="3" bestFit="1" customWidth="1"/>
    <col min="2868" max="2868" width="8.75" style="3" bestFit="1" customWidth="1"/>
    <col min="2869" max="2869" width="7.5" style="3" bestFit="1" customWidth="1"/>
    <col min="2870" max="3100" width="2.875" style="3"/>
    <col min="3101" max="3101" width="3.75" style="3" customWidth="1"/>
    <col min="3102" max="3113" width="2.875" style="3"/>
    <col min="3114" max="3114" width="8.75" style="3" bestFit="1" customWidth="1"/>
    <col min="3115" max="3122" width="2.875" style="3"/>
    <col min="3123" max="3123" width="8.25" style="3" bestFit="1" customWidth="1"/>
    <col min="3124" max="3124" width="8.75" style="3" bestFit="1" customWidth="1"/>
    <col min="3125" max="3125" width="7.5" style="3" bestFit="1" customWidth="1"/>
    <col min="3126" max="3356" width="2.875" style="3"/>
    <col min="3357" max="3357" width="3.75" style="3" customWidth="1"/>
    <col min="3358" max="3369" width="2.875" style="3"/>
    <col min="3370" max="3370" width="8.75" style="3" bestFit="1" customWidth="1"/>
    <col min="3371" max="3378" width="2.875" style="3"/>
    <col min="3379" max="3379" width="8.25" style="3" bestFit="1" customWidth="1"/>
    <col min="3380" max="3380" width="8.75" style="3" bestFit="1" customWidth="1"/>
    <col min="3381" max="3381" width="7.5" style="3" bestFit="1" customWidth="1"/>
    <col min="3382" max="3612" width="2.875" style="3"/>
    <col min="3613" max="3613" width="3.75" style="3" customWidth="1"/>
    <col min="3614" max="3625" width="2.875" style="3"/>
    <col min="3626" max="3626" width="8.75" style="3" bestFit="1" customWidth="1"/>
    <col min="3627" max="3634" width="2.875" style="3"/>
    <col min="3635" max="3635" width="8.25" style="3" bestFit="1" customWidth="1"/>
    <col min="3636" max="3636" width="8.75" style="3" bestFit="1" customWidth="1"/>
    <col min="3637" max="3637" width="7.5" style="3" bestFit="1" customWidth="1"/>
    <col min="3638" max="3868" width="2.875" style="3"/>
    <col min="3869" max="3869" width="3.75" style="3" customWidth="1"/>
    <col min="3870" max="3881" width="2.875" style="3"/>
    <col min="3882" max="3882" width="8.75" style="3" bestFit="1" customWidth="1"/>
    <col min="3883" max="3890" width="2.875" style="3"/>
    <col min="3891" max="3891" width="8.25" style="3" bestFit="1" customWidth="1"/>
    <col min="3892" max="3892" width="8.75" style="3" bestFit="1" customWidth="1"/>
    <col min="3893" max="3893" width="7.5" style="3" bestFit="1" customWidth="1"/>
    <col min="3894" max="4124" width="2.875" style="3"/>
    <col min="4125" max="4125" width="3.75" style="3" customWidth="1"/>
    <col min="4126" max="4137" width="2.875" style="3"/>
    <col min="4138" max="4138" width="8.75" style="3" bestFit="1" customWidth="1"/>
    <col min="4139" max="4146" width="2.875" style="3"/>
    <col min="4147" max="4147" width="8.25" style="3" bestFit="1" customWidth="1"/>
    <col min="4148" max="4148" width="8.75" style="3" bestFit="1" customWidth="1"/>
    <col min="4149" max="4149" width="7.5" style="3" bestFit="1" customWidth="1"/>
    <col min="4150" max="4380" width="2.875" style="3"/>
    <col min="4381" max="4381" width="3.75" style="3" customWidth="1"/>
    <col min="4382" max="4393" width="2.875" style="3"/>
    <col min="4394" max="4394" width="8.75" style="3" bestFit="1" customWidth="1"/>
    <col min="4395" max="4402" width="2.875" style="3"/>
    <col min="4403" max="4403" width="8.25" style="3" bestFit="1" customWidth="1"/>
    <col min="4404" max="4404" width="8.75" style="3" bestFit="1" customWidth="1"/>
    <col min="4405" max="4405" width="7.5" style="3" bestFit="1" customWidth="1"/>
    <col min="4406" max="4636" width="2.875" style="3"/>
    <col min="4637" max="4637" width="3.75" style="3" customWidth="1"/>
    <col min="4638" max="4649" width="2.875" style="3"/>
    <col min="4650" max="4650" width="8.75" style="3" bestFit="1" customWidth="1"/>
    <col min="4651" max="4658" width="2.875" style="3"/>
    <col min="4659" max="4659" width="8.25" style="3" bestFit="1" customWidth="1"/>
    <col min="4660" max="4660" width="8.75" style="3" bestFit="1" customWidth="1"/>
    <col min="4661" max="4661" width="7.5" style="3" bestFit="1" customWidth="1"/>
    <col min="4662" max="4892" width="2.875" style="3"/>
    <col min="4893" max="4893" width="3.75" style="3" customWidth="1"/>
    <col min="4894" max="4905" width="2.875" style="3"/>
    <col min="4906" max="4906" width="8.75" style="3" bestFit="1" customWidth="1"/>
    <col min="4907" max="4914" width="2.875" style="3"/>
    <col min="4915" max="4915" width="8.25" style="3" bestFit="1" customWidth="1"/>
    <col min="4916" max="4916" width="8.75" style="3" bestFit="1" customWidth="1"/>
    <col min="4917" max="4917" width="7.5" style="3" bestFit="1" customWidth="1"/>
    <col min="4918" max="5148" width="2.875" style="3"/>
    <col min="5149" max="5149" width="3.75" style="3" customWidth="1"/>
    <col min="5150" max="5161" width="2.875" style="3"/>
    <col min="5162" max="5162" width="8.75" style="3" bestFit="1" customWidth="1"/>
    <col min="5163" max="5170" width="2.875" style="3"/>
    <col min="5171" max="5171" width="8.25" style="3" bestFit="1" customWidth="1"/>
    <col min="5172" max="5172" width="8.75" style="3" bestFit="1" customWidth="1"/>
    <col min="5173" max="5173" width="7.5" style="3" bestFit="1" customWidth="1"/>
    <col min="5174" max="5404" width="2.875" style="3"/>
    <col min="5405" max="5405" width="3.75" style="3" customWidth="1"/>
    <col min="5406" max="5417" width="2.875" style="3"/>
    <col min="5418" max="5418" width="8.75" style="3" bestFit="1" customWidth="1"/>
    <col min="5419" max="5426" width="2.875" style="3"/>
    <col min="5427" max="5427" width="8.25" style="3" bestFit="1" customWidth="1"/>
    <col min="5428" max="5428" width="8.75" style="3" bestFit="1" customWidth="1"/>
    <col min="5429" max="5429" width="7.5" style="3" bestFit="1" customWidth="1"/>
    <col min="5430" max="5660" width="2.875" style="3"/>
    <col min="5661" max="5661" width="3.75" style="3" customWidth="1"/>
    <col min="5662" max="5673" width="2.875" style="3"/>
    <col min="5674" max="5674" width="8.75" style="3" bestFit="1" customWidth="1"/>
    <col min="5675" max="5682" width="2.875" style="3"/>
    <col min="5683" max="5683" width="8.25" style="3" bestFit="1" customWidth="1"/>
    <col min="5684" max="5684" width="8.75" style="3" bestFit="1" customWidth="1"/>
    <col min="5685" max="5685" width="7.5" style="3" bestFit="1" customWidth="1"/>
    <col min="5686" max="5916" width="2.875" style="3"/>
    <col min="5917" max="5917" width="3.75" style="3" customWidth="1"/>
    <col min="5918" max="5929" width="2.875" style="3"/>
    <col min="5930" max="5930" width="8.75" style="3" bestFit="1" customWidth="1"/>
    <col min="5931" max="5938" width="2.875" style="3"/>
    <col min="5939" max="5939" width="8.25" style="3" bestFit="1" customWidth="1"/>
    <col min="5940" max="5940" width="8.75" style="3" bestFit="1" customWidth="1"/>
    <col min="5941" max="5941" width="7.5" style="3" bestFit="1" customWidth="1"/>
    <col min="5942" max="6172" width="2.875" style="3"/>
    <col min="6173" max="6173" width="3.75" style="3" customWidth="1"/>
    <col min="6174" max="6185" width="2.875" style="3"/>
    <col min="6186" max="6186" width="8.75" style="3" bestFit="1" customWidth="1"/>
    <col min="6187" max="6194" width="2.875" style="3"/>
    <col min="6195" max="6195" width="8.25" style="3" bestFit="1" customWidth="1"/>
    <col min="6196" max="6196" width="8.75" style="3" bestFit="1" customWidth="1"/>
    <col min="6197" max="6197" width="7.5" style="3" bestFit="1" customWidth="1"/>
    <col min="6198" max="6428" width="2.875" style="3"/>
    <col min="6429" max="6429" width="3.75" style="3" customWidth="1"/>
    <col min="6430" max="6441" width="2.875" style="3"/>
    <col min="6442" max="6442" width="8.75" style="3" bestFit="1" customWidth="1"/>
    <col min="6443" max="6450" width="2.875" style="3"/>
    <col min="6451" max="6451" width="8.25" style="3" bestFit="1" customWidth="1"/>
    <col min="6452" max="6452" width="8.75" style="3" bestFit="1" customWidth="1"/>
    <col min="6453" max="6453" width="7.5" style="3" bestFit="1" customWidth="1"/>
    <col min="6454" max="6684" width="2.875" style="3"/>
    <col min="6685" max="6685" width="3.75" style="3" customWidth="1"/>
    <col min="6686" max="6697" width="2.875" style="3"/>
    <col min="6698" max="6698" width="8.75" style="3" bestFit="1" customWidth="1"/>
    <col min="6699" max="6706" width="2.875" style="3"/>
    <col min="6707" max="6707" width="8.25" style="3" bestFit="1" customWidth="1"/>
    <col min="6708" max="6708" width="8.75" style="3" bestFit="1" customWidth="1"/>
    <col min="6709" max="6709" width="7.5" style="3" bestFit="1" customWidth="1"/>
    <col min="6710" max="6940" width="2.875" style="3"/>
    <col min="6941" max="6941" width="3.75" style="3" customWidth="1"/>
    <col min="6942" max="6953" width="2.875" style="3"/>
    <col min="6954" max="6954" width="8.75" style="3" bestFit="1" customWidth="1"/>
    <col min="6955" max="6962" width="2.875" style="3"/>
    <col min="6963" max="6963" width="8.25" style="3" bestFit="1" customWidth="1"/>
    <col min="6964" max="6964" width="8.75" style="3" bestFit="1" customWidth="1"/>
    <col min="6965" max="6965" width="7.5" style="3" bestFit="1" customWidth="1"/>
    <col min="6966" max="7196" width="2.875" style="3"/>
    <col min="7197" max="7197" width="3.75" style="3" customWidth="1"/>
    <col min="7198" max="7209" width="2.875" style="3"/>
    <col min="7210" max="7210" width="8.75" style="3" bestFit="1" customWidth="1"/>
    <col min="7211" max="7218" width="2.875" style="3"/>
    <col min="7219" max="7219" width="8.25" style="3" bestFit="1" customWidth="1"/>
    <col min="7220" max="7220" width="8.75" style="3" bestFit="1" customWidth="1"/>
    <col min="7221" max="7221" width="7.5" style="3" bestFit="1" customWidth="1"/>
    <col min="7222" max="7452" width="2.875" style="3"/>
    <col min="7453" max="7453" width="3.75" style="3" customWidth="1"/>
    <col min="7454" max="7465" width="2.875" style="3"/>
    <col min="7466" max="7466" width="8.75" style="3" bestFit="1" customWidth="1"/>
    <col min="7467" max="7474" width="2.875" style="3"/>
    <col min="7475" max="7475" width="8.25" style="3" bestFit="1" customWidth="1"/>
    <col min="7476" max="7476" width="8.75" style="3" bestFit="1" customWidth="1"/>
    <col min="7477" max="7477" width="7.5" style="3" bestFit="1" customWidth="1"/>
    <col min="7478" max="7708" width="2.875" style="3"/>
    <col min="7709" max="7709" width="3.75" style="3" customWidth="1"/>
    <col min="7710" max="7721" width="2.875" style="3"/>
    <col min="7722" max="7722" width="8.75" style="3" bestFit="1" customWidth="1"/>
    <col min="7723" max="7730" width="2.875" style="3"/>
    <col min="7731" max="7731" width="8.25" style="3" bestFit="1" customWidth="1"/>
    <col min="7732" max="7732" width="8.75" style="3" bestFit="1" customWidth="1"/>
    <col min="7733" max="7733" width="7.5" style="3" bestFit="1" customWidth="1"/>
    <col min="7734" max="7964" width="2.875" style="3"/>
    <col min="7965" max="7965" width="3.75" style="3" customWidth="1"/>
    <col min="7966" max="7977" width="2.875" style="3"/>
    <col min="7978" max="7978" width="8.75" style="3" bestFit="1" customWidth="1"/>
    <col min="7979" max="7986" width="2.875" style="3"/>
    <col min="7987" max="7987" width="8.25" style="3" bestFit="1" customWidth="1"/>
    <col min="7988" max="7988" width="8.75" style="3" bestFit="1" customWidth="1"/>
    <col min="7989" max="7989" width="7.5" style="3" bestFit="1" customWidth="1"/>
    <col min="7990" max="8220" width="2.875" style="3"/>
    <col min="8221" max="8221" width="3.75" style="3" customWidth="1"/>
    <col min="8222" max="8233" width="2.875" style="3"/>
    <col min="8234" max="8234" width="8.75" style="3" bestFit="1" customWidth="1"/>
    <col min="8235" max="8242" width="2.875" style="3"/>
    <col min="8243" max="8243" width="8.25" style="3" bestFit="1" customWidth="1"/>
    <col min="8244" max="8244" width="8.75" style="3" bestFit="1" customWidth="1"/>
    <col min="8245" max="8245" width="7.5" style="3" bestFit="1" customWidth="1"/>
    <col min="8246" max="8476" width="2.875" style="3"/>
    <col min="8477" max="8477" width="3.75" style="3" customWidth="1"/>
    <col min="8478" max="8489" width="2.875" style="3"/>
    <col min="8490" max="8490" width="8.75" style="3" bestFit="1" customWidth="1"/>
    <col min="8491" max="8498" width="2.875" style="3"/>
    <col min="8499" max="8499" width="8.25" style="3" bestFit="1" customWidth="1"/>
    <col min="8500" max="8500" width="8.75" style="3" bestFit="1" customWidth="1"/>
    <col min="8501" max="8501" width="7.5" style="3" bestFit="1" customWidth="1"/>
    <col min="8502" max="8732" width="2.875" style="3"/>
    <col min="8733" max="8733" width="3.75" style="3" customWidth="1"/>
    <col min="8734" max="8745" width="2.875" style="3"/>
    <col min="8746" max="8746" width="8.75" style="3" bestFit="1" customWidth="1"/>
    <col min="8747" max="8754" width="2.875" style="3"/>
    <col min="8755" max="8755" width="8.25" style="3" bestFit="1" customWidth="1"/>
    <col min="8756" max="8756" width="8.75" style="3" bestFit="1" customWidth="1"/>
    <col min="8757" max="8757" width="7.5" style="3" bestFit="1" customWidth="1"/>
    <col min="8758" max="8988" width="2.875" style="3"/>
    <col min="8989" max="8989" width="3.75" style="3" customWidth="1"/>
    <col min="8990" max="9001" width="2.875" style="3"/>
    <col min="9002" max="9002" width="8.75" style="3" bestFit="1" customWidth="1"/>
    <col min="9003" max="9010" width="2.875" style="3"/>
    <col min="9011" max="9011" width="8.25" style="3" bestFit="1" customWidth="1"/>
    <col min="9012" max="9012" width="8.75" style="3" bestFit="1" customWidth="1"/>
    <col min="9013" max="9013" width="7.5" style="3" bestFit="1" customWidth="1"/>
    <col min="9014" max="9244" width="2.875" style="3"/>
    <col min="9245" max="9245" width="3.75" style="3" customWidth="1"/>
    <col min="9246" max="9257" width="2.875" style="3"/>
    <col min="9258" max="9258" width="8.75" style="3" bestFit="1" customWidth="1"/>
    <col min="9259" max="9266" width="2.875" style="3"/>
    <col min="9267" max="9267" width="8.25" style="3" bestFit="1" customWidth="1"/>
    <col min="9268" max="9268" width="8.75" style="3" bestFit="1" customWidth="1"/>
    <col min="9269" max="9269" width="7.5" style="3" bestFit="1" customWidth="1"/>
    <col min="9270" max="9500" width="2.875" style="3"/>
    <col min="9501" max="9501" width="3.75" style="3" customWidth="1"/>
    <col min="9502" max="9513" width="2.875" style="3"/>
    <col min="9514" max="9514" width="8.75" style="3" bestFit="1" customWidth="1"/>
    <col min="9515" max="9522" width="2.875" style="3"/>
    <col min="9523" max="9523" width="8.25" style="3" bestFit="1" customWidth="1"/>
    <col min="9524" max="9524" width="8.75" style="3" bestFit="1" customWidth="1"/>
    <col min="9525" max="9525" width="7.5" style="3" bestFit="1" customWidth="1"/>
    <col min="9526" max="9756" width="2.875" style="3"/>
    <col min="9757" max="9757" width="3.75" style="3" customWidth="1"/>
    <col min="9758" max="9769" width="2.875" style="3"/>
    <col min="9770" max="9770" width="8.75" style="3" bestFit="1" customWidth="1"/>
    <col min="9771" max="9778" width="2.875" style="3"/>
    <col min="9779" max="9779" width="8.25" style="3" bestFit="1" customWidth="1"/>
    <col min="9780" max="9780" width="8.75" style="3" bestFit="1" customWidth="1"/>
    <col min="9781" max="9781" width="7.5" style="3" bestFit="1" customWidth="1"/>
    <col min="9782" max="10012" width="2.875" style="3"/>
    <col min="10013" max="10013" width="3.75" style="3" customWidth="1"/>
    <col min="10014" max="10025" width="2.875" style="3"/>
    <col min="10026" max="10026" width="8.75" style="3" bestFit="1" customWidth="1"/>
    <col min="10027" max="10034" width="2.875" style="3"/>
    <col min="10035" max="10035" width="8.25" style="3" bestFit="1" customWidth="1"/>
    <col min="10036" max="10036" width="8.75" style="3" bestFit="1" customWidth="1"/>
    <col min="10037" max="10037" width="7.5" style="3" bestFit="1" customWidth="1"/>
    <col min="10038" max="10268" width="2.875" style="3"/>
    <col min="10269" max="10269" width="3.75" style="3" customWidth="1"/>
    <col min="10270" max="10281" width="2.875" style="3"/>
    <col min="10282" max="10282" width="8.75" style="3" bestFit="1" customWidth="1"/>
    <col min="10283" max="10290" width="2.875" style="3"/>
    <col min="10291" max="10291" width="8.25" style="3" bestFit="1" customWidth="1"/>
    <col min="10292" max="10292" width="8.75" style="3" bestFit="1" customWidth="1"/>
    <col min="10293" max="10293" width="7.5" style="3" bestFit="1" customWidth="1"/>
    <col min="10294" max="10524" width="2.875" style="3"/>
    <col min="10525" max="10525" width="3.75" style="3" customWidth="1"/>
    <col min="10526" max="10537" width="2.875" style="3"/>
    <col min="10538" max="10538" width="8.75" style="3" bestFit="1" customWidth="1"/>
    <col min="10539" max="10546" width="2.875" style="3"/>
    <col min="10547" max="10547" width="8.25" style="3" bestFit="1" customWidth="1"/>
    <col min="10548" max="10548" width="8.75" style="3" bestFit="1" customWidth="1"/>
    <col min="10549" max="10549" width="7.5" style="3" bestFit="1" customWidth="1"/>
    <col min="10550" max="10780" width="2.875" style="3"/>
    <col min="10781" max="10781" width="3.75" style="3" customWidth="1"/>
    <col min="10782" max="10793" width="2.875" style="3"/>
    <col min="10794" max="10794" width="8.75" style="3" bestFit="1" customWidth="1"/>
    <col min="10795" max="10802" width="2.875" style="3"/>
    <col min="10803" max="10803" width="8.25" style="3" bestFit="1" customWidth="1"/>
    <col min="10804" max="10804" width="8.75" style="3" bestFit="1" customWidth="1"/>
    <col min="10805" max="10805" width="7.5" style="3" bestFit="1" customWidth="1"/>
    <col min="10806" max="11036" width="2.875" style="3"/>
    <col min="11037" max="11037" width="3.75" style="3" customWidth="1"/>
    <col min="11038" max="11049" width="2.875" style="3"/>
    <col min="11050" max="11050" width="8.75" style="3" bestFit="1" customWidth="1"/>
    <col min="11051" max="11058" width="2.875" style="3"/>
    <col min="11059" max="11059" width="8.25" style="3" bestFit="1" customWidth="1"/>
    <col min="11060" max="11060" width="8.75" style="3" bestFit="1" customWidth="1"/>
    <col min="11061" max="11061" width="7.5" style="3" bestFit="1" customWidth="1"/>
    <col min="11062" max="11292" width="2.875" style="3"/>
    <col min="11293" max="11293" width="3.75" style="3" customWidth="1"/>
    <col min="11294" max="11305" width="2.875" style="3"/>
    <col min="11306" max="11306" width="8.75" style="3" bestFit="1" customWidth="1"/>
    <col min="11307" max="11314" width="2.875" style="3"/>
    <col min="11315" max="11315" width="8.25" style="3" bestFit="1" customWidth="1"/>
    <col min="11316" max="11316" width="8.75" style="3" bestFit="1" customWidth="1"/>
    <col min="11317" max="11317" width="7.5" style="3" bestFit="1" customWidth="1"/>
    <col min="11318" max="11548" width="2.875" style="3"/>
    <col min="11549" max="11549" width="3.75" style="3" customWidth="1"/>
    <col min="11550" max="11561" width="2.875" style="3"/>
    <col min="11562" max="11562" width="8.75" style="3" bestFit="1" customWidth="1"/>
    <col min="11563" max="11570" width="2.875" style="3"/>
    <col min="11571" max="11571" width="8.25" style="3" bestFit="1" customWidth="1"/>
    <col min="11572" max="11572" width="8.75" style="3" bestFit="1" customWidth="1"/>
    <col min="11573" max="11573" width="7.5" style="3" bestFit="1" customWidth="1"/>
    <col min="11574" max="11804" width="2.875" style="3"/>
    <col min="11805" max="11805" width="3.75" style="3" customWidth="1"/>
    <col min="11806" max="11817" width="2.875" style="3"/>
    <col min="11818" max="11818" width="8.75" style="3" bestFit="1" customWidth="1"/>
    <col min="11819" max="11826" width="2.875" style="3"/>
    <col min="11827" max="11827" width="8.25" style="3" bestFit="1" customWidth="1"/>
    <col min="11828" max="11828" width="8.75" style="3" bestFit="1" customWidth="1"/>
    <col min="11829" max="11829" width="7.5" style="3" bestFit="1" customWidth="1"/>
    <col min="11830" max="12060" width="2.875" style="3"/>
    <col min="12061" max="12061" width="3.75" style="3" customWidth="1"/>
    <col min="12062" max="12073" width="2.875" style="3"/>
    <col min="12074" max="12074" width="8.75" style="3" bestFit="1" customWidth="1"/>
    <col min="12075" max="12082" width="2.875" style="3"/>
    <col min="12083" max="12083" width="8.25" style="3" bestFit="1" customWidth="1"/>
    <col min="12084" max="12084" width="8.75" style="3" bestFit="1" customWidth="1"/>
    <col min="12085" max="12085" width="7.5" style="3" bestFit="1" customWidth="1"/>
    <col min="12086" max="12316" width="2.875" style="3"/>
    <col min="12317" max="12317" width="3.75" style="3" customWidth="1"/>
    <col min="12318" max="12329" width="2.875" style="3"/>
    <col min="12330" max="12330" width="8.75" style="3" bestFit="1" customWidth="1"/>
    <col min="12331" max="12338" width="2.875" style="3"/>
    <col min="12339" max="12339" width="8.25" style="3" bestFit="1" customWidth="1"/>
    <col min="12340" max="12340" width="8.75" style="3" bestFit="1" customWidth="1"/>
    <col min="12341" max="12341" width="7.5" style="3" bestFit="1" customWidth="1"/>
    <col min="12342" max="12572" width="2.875" style="3"/>
    <col min="12573" max="12573" width="3.75" style="3" customWidth="1"/>
    <col min="12574" max="12585" width="2.875" style="3"/>
    <col min="12586" max="12586" width="8.75" style="3" bestFit="1" customWidth="1"/>
    <col min="12587" max="12594" width="2.875" style="3"/>
    <col min="12595" max="12595" width="8.25" style="3" bestFit="1" customWidth="1"/>
    <col min="12596" max="12596" width="8.75" style="3" bestFit="1" customWidth="1"/>
    <col min="12597" max="12597" width="7.5" style="3" bestFit="1" customWidth="1"/>
    <col min="12598" max="12828" width="2.875" style="3"/>
    <col min="12829" max="12829" width="3.75" style="3" customWidth="1"/>
    <col min="12830" max="12841" width="2.875" style="3"/>
    <col min="12842" max="12842" width="8.75" style="3" bestFit="1" customWidth="1"/>
    <col min="12843" max="12850" width="2.875" style="3"/>
    <col min="12851" max="12851" width="8.25" style="3" bestFit="1" customWidth="1"/>
    <col min="12852" max="12852" width="8.75" style="3" bestFit="1" customWidth="1"/>
    <col min="12853" max="12853" width="7.5" style="3" bestFit="1" customWidth="1"/>
    <col min="12854" max="13084" width="2.875" style="3"/>
    <col min="13085" max="13085" width="3.75" style="3" customWidth="1"/>
    <col min="13086" max="13097" width="2.875" style="3"/>
    <col min="13098" max="13098" width="8.75" style="3" bestFit="1" customWidth="1"/>
    <col min="13099" max="13106" width="2.875" style="3"/>
    <col min="13107" max="13107" width="8.25" style="3" bestFit="1" customWidth="1"/>
    <col min="13108" max="13108" width="8.75" style="3" bestFit="1" customWidth="1"/>
    <col min="13109" max="13109" width="7.5" style="3" bestFit="1" customWidth="1"/>
    <col min="13110" max="13340" width="2.875" style="3"/>
    <col min="13341" max="13341" width="3.75" style="3" customWidth="1"/>
    <col min="13342" max="13353" width="2.875" style="3"/>
    <col min="13354" max="13354" width="8.75" style="3" bestFit="1" customWidth="1"/>
    <col min="13355" max="13362" width="2.875" style="3"/>
    <col min="13363" max="13363" width="8.25" style="3" bestFit="1" customWidth="1"/>
    <col min="13364" max="13364" width="8.75" style="3" bestFit="1" customWidth="1"/>
    <col min="13365" max="13365" width="7.5" style="3" bestFit="1" customWidth="1"/>
    <col min="13366" max="13596" width="2.875" style="3"/>
    <col min="13597" max="13597" width="3.75" style="3" customWidth="1"/>
    <col min="13598" max="13609" width="2.875" style="3"/>
    <col min="13610" max="13610" width="8.75" style="3" bestFit="1" customWidth="1"/>
    <col min="13611" max="13618" width="2.875" style="3"/>
    <col min="13619" max="13619" width="8.25" style="3" bestFit="1" customWidth="1"/>
    <col min="13620" max="13620" width="8.75" style="3" bestFit="1" customWidth="1"/>
    <col min="13621" max="13621" width="7.5" style="3" bestFit="1" customWidth="1"/>
    <col min="13622" max="13852" width="2.875" style="3"/>
    <col min="13853" max="13853" width="3.75" style="3" customWidth="1"/>
    <col min="13854" max="13865" width="2.875" style="3"/>
    <col min="13866" max="13866" width="8.75" style="3" bestFit="1" customWidth="1"/>
    <col min="13867" max="13874" width="2.875" style="3"/>
    <col min="13875" max="13875" width="8.25" style="3" bestFit="1" customWidth="1"/>
    <col min="13876" max="13876" width="8.75" style="3" bestFit="1" customWidth="1"/>
    <col min="13877" max="13877" width="7.5" style="3" bestFit="1" customWidth="1"/>
    <col min="13878" max="14108" width="2.875" style="3"/>
    <col min="14109" max="14109" width="3.75" style="3" customWidth="1"/>
    <col min="14110" max="14121" width="2.875" style="3"/>
    <col min="14122" max="14122" width="8.75" style="3" bestFit="1" customWidth="1"/>
    <col min="14123" max="14130" width="2.875" style="3"/>
    <col min="14131" max="14131" width="8.25" style="3" bestFit="1" customWidth="1"/>
    <col min="14132" max="14132" width="8.75" style="3" bestFit="1" customWidth="1"/>
    <col min="14133" max="14133" width="7.5" style="3" bestFit="1" customWidth="1"/>
    <col min="14134" max="14364" width="2.875" style="3"/>
    <col min="14365" max="14365" width="3.75" style="3" customWidth="1"/>
    <col min="14366" max="14377" width="2.875" style="3"/>
    <col min="14378" max="14378" width="8.75" style="3" bestFit="1" customWidth="1"/>
    <col min="14379" max="14386" width="2.875" style="3"/>
    <col min="14387" max="14387" width="8.25" style="3" bestFit="1" customWidth="1"/>
    <col min="14388" max="14388" width="8.75" style="3" bestFit="1" customWidth="1"/>
    <col min="14389" max="14389" width="7.5" style="3" bestFit="1" customWidth="1"/>
    <col min="14390" max="14620" width="2.875" style="3"/>
    <col min="14621" max="14621" width="3.75" style="3" customWidth="1"/>
    <col min="14622" max="14633" width="2.875" style="3"/>
    <col min="14634" max="14634" width="8.75" style="3" bestFit="1" customWidth="1"/>
    <col min="14635" max="14642" width="2.875" style="3"/>
    <col min="14643" max="14643" width="8.25" style="3" bestFit="1" customWidth="1"/>
    <col min="14644" max="14644" width="8.75" style="3" bestFit="1" customWidth="1"/>
    <col min="14645" max="14645" width="7.5" style="3" bestFit="1" customWidth="1"/>
    <col min="14646" max="14876" width="2.875" style="3"/>
    <col min="14877" max="14877" width="3.75" style="3" customWidth="1"/>
    <col min="14878" max="14889" width="2.875" style="3"/>
    <col min="14890" max="14890" width="8.75" style="3" bestFit="1" customWidth="1"/>
    <col min="14891" max="14898" width="2.875" style="3"/>
    <col min="14899" max="14899" width="8.25" style="3" bestFit="1" customWidth="1"/>
    <col min="14900" max="14900" width="8.75" style="3" bestFit="1" customWidth="1"/>
    <col min="14901" max="14901" width="7.5" style="3" bestFit="1" customWidth="1"/>
    <col min="14902" max="15132" width="2.875" style="3"/>
    <col min="15133" max="15133" width="3.75" style="3" customWidth="1"/>
    <col min="15134" max="15145" width="2.875" style="3"/>
    <col min="15146" max="15146" width="8.75" style="3" bestFit="1" customWidth="1"/>
    <col min="15147" max="15154" width="2.875" style="3"/>
    <col min="15155" max="15155" width="8.25" style="3" bestFit="1" customWidth="1"/>
    <col min="15156" max="15156" width="8.75" style="3" bestFit="1" customWidth="1"/>
    <col min="15157" max="15157" width="7.5" style="3" bestFit="1" customWidth="1"/>
    <col min="15158" max="15388" width="2.875" style="3"/>
    <col min="15389" max="15389" width="3.75" style="3" customWidth="1"/>
    <col min="15390" max="15401" width="2.875" style="3"/>
    <col min="15402" max="15402" width="8.75" style="3" bestFit="1" customWidth="1"/>
    <col min="15403" max="15410" width="2.875" style="3"/>
    <col min="15411" max="15411" width="8.25" style="3" bestFit="1" customWidth="1"/>
    <col min="15412" max="15412" width="8.75" style="3" bestFit="1" customWidth="1"/>
    <col min="15413" max="15413" width="7.5" style="3" bestFit="1" customWidth="1"/>
    <col min="15414" max="15644" width="2.875" style="3"/>
    <col min="15645" max="15645" width="3.75" style="3" customWidth="1"/>
    <col min="15646" max="15657" width="2.875" style="3"/>
    <col min="15658" max="15658" width="8.75" style="3" bestFit="1" customWidth="1"/>
    <col min="15659" max="15666" width="2.875" style="3"/>
    <col min="15667" max="15667" width="8.25" style="3" bestFit="1" customWidth="1"/>
    <col min="15668" max="15668" width="8.75" style="3" bestFit="1" customWidth="1"/>
    <col min="15669" max="15669" width="7.5" style="3" bestFit="1" customWidth="1"/>
    <col min="15670" max="15900" width="2.875" style="3"/>
    <col min="15901" max="15901" width="3.75" style="3" customWidth="1"/>
    <col min="15902" max="15913" width="2.875" style="3"/>
    <col min="15914" max="15914" width="8.75" style="3" bestFit="1" customWidth="1"/>
    <col min="15915" max="15922" width="2.875" style="3"/>
    <col min="15923" max="15923" width="8.25" style="3" bestFit="1" customWidth="1"/>
    <col min="15924" max="15924" width="8.75" style="3" bestFit="1" customWidth="1"/>
    <col min="15925" max="15925" width="7.5" style="3" bestFit="1" customWidth="1"/>
    <col min="15926" max="16156" width="2.875" style="3"/>
    <col min="16157" max="16157" width="3.75" style="3" customWidth="1"/>
    <col min="16158" max="16169" width="2.875" style="3"/>
    <col min="16170" max="16170" width="8.75" style="3" bestFit="1" customWidth="1"/>
    <col min="16171" max="16178" width="2.875" style="3"/>
    <col min="16179" max="16179" width="8.25" style="3" bestFit="1" customWidth="1"/>
    <col min="16180" max="16180" width="8.75" style="3" bestFit="1" customWidth="1"/>
    <col min="16181" max="16181" width="7.5" style="3" bestFit="1" customWidth="1"/>
    <col min="16182" max="16384" width="2.875" style="3"/>
  </cols>
  <sheetData>
    <row r="1" spans="1:30" ht="22.5">
      <c r="A1" s="806"/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</row>
    <row r="2" spans="1:30" ht="52.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30" ht="21" customHeight="1">
      <c r="A3" s="742" t="s">
        <v>441</v>
      </c>
      <c r="B3" s="1579" t="s">
        <v>421</v>
      </c>
      <c r="C3" s="1579"/>
      <c r="D3" s="1579"/>
      <c r="E3" s="1579"/>
      <c r="F3" s="1579"/>
      <c r="G3" s="743" t="s">
        <v>196</v>
      </c>
      <c r="H3" s="1580" t="str">
        <f>입력!B4</f>
        <v>전북 전주시 완산구 상림동 596 다세대주택 신축공사</v>
      </c>
      <c r="I3" s="1580"/>
      <c r="J3" s="1580"/>
      <c r="K3" s="1580"/>
      <c r="L3" s="1580"/>
      <c r="M3" s="1580"/>
      <c r="N3" s="1580"/>
      <c r="O3" s="1580"/>
      <c r="P3" s="1580"/>
      <c r="Q3" s="1580"/>
      <c r="R3" s="1580"/>
      <c r="S3" s="1580"/>
      <c r="T3" s="1580"/>
      <c r="U3" s="1580"/>
      <c r="V3" s="1580"/>
      <c r="W3" s="1580"/>
      <c r="X3" s="1580"/>
      <c r="Y3" s="1580"/>
      <c r="Z3" s="1580"/>
      <c r="AA3" s="1580"/>
      <c r="AB3" s="1580"/>
    </row>
    <row r="4" spans="1:30" ht="21" customHeight="1">
      <c r="A4" s="742" t="s">
        <v>445</v>
      </c>
      <c r="B4" s="1579" t="s">
        <v>832</v>
      </c>
      <c r="C4" s="1579"/>
      <c r="D4" s="1579"/>
      <c r="E4" s="1579"/>
      <c r="F4" s="1579"/>
      <c r="G4" s="743" t="s">
        <v>196</v>
      </c>
      <c r="H4" s="1580">
        <f>입력!B2</f>
        <v>0</v>
      </c>
      <c r="I4" s="1580"/>
      <c r="J4" s="1580"/>
      <c r="K4" s="1580"/>
      <c r="L4" s="1580"/>
      <c r="M4" s="1580"/>
      <c r="N4" s="1580"/>
      <c r="O4" s="1580"/>
      <c r="P4" s="1580"/>
      <c r="Q4" s="1580"/>
      <c r="R4" s="1580"/>
      <c r="S4" s="1580"/>
      <c r="T4" s="1580"/>
      <c r="U4" s="1580"/>
      <c r="V4" s="1580"/>
      <c r="W4" s="1580"/>
      <c r="X4" s="1580"/>
      <c r="Y4" s="1580"/>
      <c r="Z4" s="1580"/>
      <c r="AA4" s="1580"/>
      <c r="AB4" s="1580"/>
    </row>
    <row r="5" spans="1:30" ht="21" customHeight="1">
      <c r="A5" s="742" t="s">
        <v>833</v>
      </c>
      <c r="B5" s="1579" t="s">
        <v>426</v>
      </c>
      <c r="C5" s="1579"/>
      <c r="D5" s="1579"/>
      <c r="E5" s="1579"/>
      <c r="F5" s="1579"/>
      <c r="G5" s="743" t="s">
        <v>196</v>
      </c>
      <c r="H5" s="1580" t="str">
        <f>입력!C14</f>
        <v>지상4층</v>
      </c>
      <c r="I5" s="1580"/>
      <c r="J5" s="1580"/>
      <c r="K5" s="1580"/>
      <c r="L5" s="1580"/>
      <c r="M5" s="1580"/>
      <c r="N5" s="1580"/>
      <c r="O5" s="1580"/>
      <c r="P5" s="1580"/>
      <c r="Q5" s="1580"/>
      <c r="R5" s="1580"/>
      <c r="S5" s="1580"/>
      <c r="T5" s="1580"/>
      <c r="U5" s="1580"/>
      <c r="V5" s="1580"/>
      <c r="W5" s="1580"/>
      <c r="X5" s="1580"/>
      <c r="Y5" s="1580"/>
      <c r="Z5" s="1580"/>
      <c r="AA5" s="1580"/>
      <c r="AB5" s="1580"/>
    </row>
    <row r="6" spans="1:30" ht="21" customHeight="1">
      <c r="A6" s="742" t="s">
        <v>834</v>
      </c>
      <c r="B6" s="1579" t="s">
        <v>835</v>
      </c>
      <c r="C6" s="1579"/>
      <c r="D6" s="1579"/>
      <c r="E6" s="1579"/>
      <c r="F6" s="1579"/>
      <c r="G6" s="743" t="s">
        <v>196</v>
      </c>
      <c r="H6" s="744" t="s">
        <v>358</v>
      </c>
      <c r="I6" s="1576" t="s">
        <v>423</v>
      </c>
      <c r="J6" s="1576"/>
      <c r="K6" s="1576"/>
      <c r="L6" s="1576"/>
      <c r="M6" s="743" t="s">
        <v>196</v>
      </c>
      <c r="N6" s="745" t="str">
        <f>입력!D8 &amp;" ("&amp;입력!D6&amp;" kN/㎡)"</f>
        <v>THK 500 (150 kN/㎡)</v>
      </c>
      <c r="O6" s="745"/>
      <c r="P6" s="745"/>
      <c r="Q6" s="745"/>
      <c r="R6" s="745"/>
      <c r="S6" s="745"/>
      <c r="T6" s="745"/>
      <c r="U6" s="745"/>
      <c r="V6" s="745"/>
      <c r="W6" s="745"/>
      <c r="X6" s="745"/>
      <c r="Y6" s="745"/>
      <c r="Z6" s="745"/>
      <c r="AA6" s="745"/>
      <c r="AB6" s="745"/>
    </row>
    <row r="7" spans="1:30" ht="21" customHeight="1">
      <c r="A7" s="165"/>
      <c r="B7" s="746"/>
      <c r="C7" s="746"/>
      <c r="D7" s="746"/>
      <c r="E7" s="746"/>
      <c r="F7" s="746"/>
      <c r="G7" s="743"/>
      <c r="H7" s="744" t="s">
        <v>358</v>
      </c>
      <c r="I7" s="1576" t="s">
        <v>836</v>
      </c>
      <c r="J7" s="1576"/>
      <c r="K7" s="1576"/>
      <c r="L7" s="1576"/>
      <c r="M7" s="743" t="s">
        <v>196</v>
      </c>
      <c r="N7" s="745" t="str">
        <f>입력!A20&amp;" ~ "&amp;입력!A23&amp;" "&amp;"("&amp;입력!E20&amp;")"</f>
        <v>매립층 ~  (실트질 모래)</v>
      </c>
      <c r="O7" s="745"/>
      <c r="P7" s="745"/>
      <c r="Q7" s="745"/>
      <c r="R7" s="745"/>
      <c r="S7" s="745"/>
      <c r="T7" s="745"/>
      <c r="U7" s="745"/>
      <c r="V7" s="745"/>
      <c r="W7" s="745"/>
      <c r="X7" s="745"/>
      <c r="Y7" s="745"/>
      <c r="Z7" s="745"/>
      <c r="AA7" s="745"/>
      <c r="AB7" s="745"/>
    </row>
    <row r="8" spans="1:30" ht="21" customHeight="1">
      <c r="A8" s="165"/>
      <c r="B8" s="746"/>
      <c r="C8" s="746"/>
      <c r="D8" s="746"/>
      <c r="E8" s="746"/>
      <c r="F8" s="746"/>
      <c r="G8" s="743"/>
      <c r="H8" s="744" t="s">
        <v>358</v>
      </c>
      <c r="I8" s="1576" t="s">
        <v>837</v>
      </c>
      <c r="J8" s="1576"/>
      <c r="K8" s="1576"/>
      <c r="L8" s="1576"/>
      <c r="M8" s="743" t="s">
        <v>196</v>
      </c>
      <c r="N8" s="745" t="str">
        <f>"페블테크 "&amp;입력!B16&amp;"mm + PETMAT "&amp;입력!C16&amp;"겹"</f>
        <v>페블테크 500mm + PETMAT 1겹</v>
      </c>
      <c r="O8" s="745"/>
      <c r="P8" s="745"/>
      <c r="Q8" s="745"/>
      <c r="R8" s="745"/>
      <c r="S8" s="745"/>
      <c r="T8" s="745"/>
      <c r="U8" s="745"/>
      <c r="V8" s="745"/>
      <c r="W8" s="745"/>
      <c r="X8" s="745"/>
      <c r="Y8" s="745"/>
      <c r="Z8" s="745"/>
      <c r="AA8" s="745"/>
      <c r="AB8" s="745"/>
    </row>
    <row r="9" spans="1:30" ht="21" customHeight="1">
      <c r="A9" s="742" t="s">
        <v>838</v>
      </c>
      <c r="B9" s="1577" t="s">
        <v>868</v>
      </c>
      <c r="C9" s="1577"/>
      <c r="D9" s="1577"/>
      <c r="E9" s="1577"/>
      <c r="F9" s="1577"/>
      <c r="G9" s="743" t="s">
        <v>196</v>
      </c>
      <c r="H9" s="747"/>
      <c r="I9" s="747"/>
      <c r="J9" s="747"/>
      <c r="K9" s="747"/>
      <c r="L9" s="747"/>
      <c r="M9" s="743"/>
      <c r="N9" s="745"/>
      <c r="O9" s="745"/>
      <c r="P9" s="745"/>
      <c r="Q9" s="745"/>
      <c r="R9" s="745"/>
      <c r="S9" s="745"/>
      <c r="T9" s="745"/>
      <c r="U9" s="745"/>
      <c r="V9" s="745"/>
      <c r="W9" s="745"/>
      <c r="X9" s="745"/>
      <c r="Y9" s="745"/>
      <c r="Z9" s="745"/>
      <c r="AA9" s="745"/>
      <c r="AB9" s="745"/>
    </row>
    <row r="10" spans="1:30" s="85" customFormat="1" ht="21" customHeight="1">
      <c r="A10" s="446"/>
      <c r="B10" s="434" t="s">
        <v>839</v>
      </c>
      <c r="C10" s="447"/>
      <c r="D10" s="447"/>
      <c r="E10" s="447"/>
      <c r="F10" s="447"/>
      <c r="G10" s="447"/>
    </row>
    <row r="11" spans="1:30" ht="22.5" customHeight="1">
      <c r="B11" s="793" t="s">
        <v>840</v>
      </c>
      <c r="C11" s="793"/>
      <c r="D11" s="793"/>
      <c r="E11" s="793"/>
      <c r="F11" s="793"/>
      <c r="G11" s="793"/>
      <c r="H11" s="793"/>
      <c r="I11" s="793"/>
      <c r="J11" s="793"/>
      <c r="K11" s="793"/>
      <c r="L11" s="793"/>
      <c r="M11" s="793"/>
      <c r="N11" s="793"/>
      <c r="O11" s="801"/>
      <c r="P11" s="793" t="s">
        <v>812</v>
      </c>
      <c r="Q11" s="793"/>
      <c r="R11" s="793"/>
      <c r="S11" s="793"/>
      <c r="T11" s="793"/>
      <c r="U11" s="793"/>
      <c r="V11" s="793"/>
      <c r="W11" s="793"/>
      <c r="X11" s="793"/>
      <c r="Y11" s="793"/>
      <c r="Z11" s="793"/>
      <c r="AA11" s="793"/>
      <c r="AB11" s="793"/>
    </row>
    <row r="12" spans="1:30" ht="138.75" customHeight="1">
      <c r="B12" s="1575"/>
      <c r="C12" s="1575"/>
      <c r="D12" s="1575"/>
      <c r="E12" s="1575"/>
      <c r="F12" s="1575"/>
      <c r="G12" s="1575"/>
      <c r="H12" s="1575"/>
      <c r="I12" s="1575"/>
      <c r="J12" s="1575"/>
      <c r="K12" s="1575"/>
      <c r="L12" s="1575"/>
      <c r="M12" s="1575"/>
      <c r="N12" s="1575"/>
      <c r="O12" s="794"/>
      <c r="P12" s="1575"/>
      <c r="Q12" s="1575"/>
      <c r="R12" s="1575"/>
      <c r="S12" s="1575"/>
      <c r="T12" s="1575"/>
      <c r="U12" s="1575"/>
      <c r="V12" s="1575"/>
      <c r="W12" s="1575"/>
      <c r="X12" s="1575"/>
      <c r="Y12" s="1575"/>
      <c r="Z12" s="1575"/>
      <c r="AA12" s="1575"/>
      <c r="AB12" s="1575"/>
    </row>
    <row r="13" spans="1:30" ht="21" customHeight="1">
      <c r="B13" s="745" t="str">
        <f>" - N값 "&amp;입력!C13&amp;"~"&amp;입력!D13&amp;"의"&amp;N7&amp;"으로 구성되어 있음"</f>
        <v xml:space="preserve"> - N값 4/30~8/30의매립층 ~  (실트질 모래)으로 구성되어 있음</v>
      </c>
    </row>
    <row r="14" spans="1:30" ht="21" customHeight="1">
      <c r="A14" s="715"/>
      <c r="B14" s="748" t="str">
        <f>" - 공내수위는 GL-"&amp;입력!B25&amp;"m 내 기초저면에 위치함"</f>
        <v xml:space="preserve"> - 공내수위는 GL-2.72m 내 기초저면에 위치함</v>
      </c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5"/>
      <c r="P14" s="715"/>
      <c r="Q14" s="715"/>
      <c r="R14" s="715"/>
      <c r="S14" s="715"/>
      <c r="T14" s="715"/>
      <c r="U14" s="715"/>
      <c r="V14" s="715"/>
      <c r="W14" s="715"/>
      <c r="X14" s="715"/>
      <c r="Y14" s="715"/>
      <c r="Z14" s="715"/>
      <c r="AA14" s="715"/>
      <c r="AB14" s="715"/>
      <c r="AC14" s="715"/>
      <c r="AD14" s="715"/>
    </row>
    <row r="15" spans="1:30" ht="11.25" customHeight="1">
      <c r="A15" s="445"/>
      <c r="B15" s="445"/>
      <c r="C15" s="445"/>
      <c r="D15" s="445"/>
      <c r="E15" s="445"/>
      <c r="F15" s="445"/>
      <c r="G15" s="445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  <c r="AA15" s="445"/>
      <c r="AB15" s="445"/>
      <c r="AC15" s="445"/>
      <c r="AD15" s="445"/>
    </row>
    <row r="16" spans="1:30" s="85" customFormat="1" ht="21" customHeight="1">
      <c r="A16" s="446"/>
      <c r="B16" s="434" t="s">
        <v>841</v>
      </c>
      <c r="C16" s="447"/>
      <c r="D16" s="447"/>
      <c r="E16" s="447"/>
      <c r="F16" s="447"/>
      <c r="G16" s="447"/>
    </row>
    <row r="17" spans="1:30" ht="21" customHeight="1">
      <c r="A17" s="445"/>
      <c r="B17" s="748" t="str">
        <f>" - 기초하부 지반이 "&amp;입력!E22&amp;"로 구성된 "&amp;입력!A22&amp;"층으로, 설계하중 "&amp;입력!D6&amp;" kN/㎡에 대한 기초안정성은 확보할 수 없을 것 으로 "</f>
        <v xml:space="preserve"> - 기초하부 지반이 로 구성된 풍화암층으로, 설계하중 150 kN/㎡에 대한 기초안정성은 확보할 수 없을 것 으로 </v>
      </c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</row>
    <row r="18" spans="1:30" ht="21" customHeight="1">
      <c r="A18" s="445"/>
      <c r="B18" s="748" t="s">
        <v>842</v>
      </c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  <c r="AA18" s="445"/>
      <c r="AB18" s="445"/>
      <c r="AC18" s="445"/>
      <c r="AD18" s="445"/>
    </row>
    <row r="19" spans="1:30" ht="11.25" customHeight="1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  <c r="W19" s="445"/>
      <c r="X19" s="445"/>
      <c r="Y19" s="445"/>
      <c r="Z19" s="445"/>
      <c r="AA19" s="445"/>
      <c r="AB19" s="445"/>
      <c r="AC19" s="445"/>
      <c r="AD19" s="445"/>
    </row>
    <row r="20" spans="1:30" s="85" customFormat="1" ht="21" customHeight="1">
      <c r="A20" s="446"/>
      <c r="B20" s="434" t="s">
        <v>843</v>
      </c>
      <c r="C20" s="447"/>
      <c r="D20" s="447"/>
      <c r="E20" s="447"/>
      <c r="F20" s="447"/>
      <c r="G20" s="447"/>
    </row>
    <row r="21" spans="1:30" ht="21" customHeight="1">
      <c r="A21" s="445"/>
      <c r="B21" s="748" t="str">
        <f>" - 페블테크 공법의 다양한 시공 사례와 해당 부지의 지반 조건을 고려할 때 페블테크 보강하여 설계하중 "&amp;입력!D6&amp;" kN/㎡에"</f>
        <v xml:space="preserve"> - 페블테크 공법의 다양한 시공 사례와 해당 부지의 지반 조건을 고려할 때 페블테크 보강하여 설계하중 150 kN/㎡에</v>
      </c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  <c r="W21" s="445"/>
      <c r="X21" s="445"/>
      <c r="Y21" s="445"/>
      <c r="Z21" s="445"/>
      <c r="AA21" s="445"/>
      <c r="AB21" s="445"/>
      <c r="AC21" s="445"/>
      <c r="AD21" s="445"/>
    </row>
    <row r="22" spans="1:30" ht="21" customHeight="1">
      <c r="A22" s="445"/>
      <c r="B22" s="748" t="s">
        <v>844</v>
      </c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  <c r="AA22" s="445"/>
      <c r="AB22" s="445"/>
      <c r="AC22" s="445"/>
      <c r="AD22" s="445"/>
    </row>
    <row r="23" spans="1:30" ht="11.25" customHeight="1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  <c r="AA23" s="445"/>
      <c r="AB23" s="445"/>
      <c r="AC23" s="445"/>
      <c r="AD23" s="445"/>
    </row>
    <row r="24" spans="1:30" ht="21" customHeight="1">
      <c r="A24" s="445"/>
      <c r="B24" s="748" t="str">
        <f>" - 특히, 원 지반과 페블테크간의 강성차로 상부하중을 분배시켜 원지반에 전달되는 하중을 감소시키는 페블테크의"</f>
        <v xml:space="preserve"> - 특히, 원 지반과 페블테크간의 강성차로 상부하중을 분배시켜 원지반에 전달되는 하중을 감소시키는 페블테크의</v>
      </c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  <c r="W24" s="445"/>
      <c r="X24" s="445"/>
      <c r="Y24" s="445"/>
      <c r="Z24" s="445"/>
      <c r="AA24" s="445"/>
      <c r="AB24" s="445"/>
      <c r="AC24" s="445"/>
      <c r="AD24" s="445"/>
    </row>
    <row r="25" spans="1:30" ht="21" customHeight="1">
      <c r="A25" s="445"/>
      <c r="B25" s="748" t="s">
        <v>845</v>
      </c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5"/>
      <c r="AD25" s="445"/>
    </row>
    <row r="26" spans="1:30" ht="11.25" customHeight="1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  <c r="W26" s="445"/>
      <c r="X26" s="445"/>
      <c r="Y26" s="445"/>
      <c r="Z26" s="445"/>
      <c r="AA26" s="445"/>
      <c r="AB26" s="445"/>
      <c r="AC26" s="445"/>
      <c r="AD26" s="445"/>
    </row>
    <row r="27" spans="1:30" ht="21" customHeight="1">
      <c r="A27" s="445"/>
      <c r="B27" s="748" t="str">
        <f>" - 지반보강에 대한 품질관리를 위해 페블테크 보강면에서 평판재하시험을 시행하여 허용지내력 이상을 확인하여야 함"</f>
        <v xml:space="preserve"> - 지반보강에 대한 품질관리를 위해 페블테크 보강면에서 평판재하시험을 시행하여 허용지내력 이상을 확인하여야 함</v>
      </c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  <c r="W27" s="445"/>
      <c r="X27" s="445"/>
      <c r="Y27" s="445"/>
      <c r="Z27" s="445"/>
      <c r="AA27" s="445"/>
      <c r="AB27" s="445"/>
      <c r="AC27" s="445"/>
      <c r="AD27" s="445"/>
    </row>
    <row r="28" spans="1:30" ht="16.5" customHeight="1">
      <c r="A28" s="445"/>
      <c r="B28" s="748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</row>
    <row r="29" spans="1:30" ht="27" customHeight="1">
      <c r="A29" s="1578" t="str">
        <f ca="1">제출문!A26</f>
        <v>2025-08</v>
      </c>
      <c r="B29" s="1578"/>
      <c r="C29" s="1578"/>
      <c r="D29" s="1578"/>
      <c r="E29" s="1578"/>
      <c r="F29" s="1578"/>
      <c r="G29" s="1578"/>
      <c r="H29" s="1578"/>
      <c r="I29" s="1578"/>
      <c r="J29" s="1578"/>
      <c r="K29" s="1578"/>
      <c r="L29" s="1578"/>
      <c r="M29" s="1578"/>
      <c r="N29" s="1578"/>
      <c r="O29" s="1578"/>
      <c r="P29" s="1578"/>
      <c r="Q29" s="1578"/>
      <c r="R29" s="1578"/>
      <c r="S29" s="1578"/>
      <c r="T29" s="1578"/>
      <c r="U29" s="1578"/>
      <c r="V29" s="1578"/>
      <c r="W29" s="1578"/>
      <c r="X29" s="1578"/>
      <c r="Y29" s="1578"/>
      <c r="Z29" s="1578"/>
      <c r="AA29" s="1578"/>
      <c r="AB29" s="1578"/>
      <c r="AC29" s="1578"/>
      <c r="AD29" s="749"/>
    </row>
    <row r="30" spans="1:30" ht="16.5" customHeight="1">
      <c r="A30" s="445"/>
      <c r="B30" s="445"/>
      <c r="C30" s="445"/>
      <c r="D30" s="445"/>
      <c r="E30" s="445"/>
      <c r="F30" s="445"/>
      <c r="G30" s="445"/>
      <c r="H30" s="445"/>
    </row>
    <row r="31" spans="1:30" ht="29.25" customHeight="1">
      <c r="A31" s="445"/>
      <c r="B31" s="1574" t="s">
        <v>846</v>
      </c>
      <c r="C31" s="1574"/>
      <c r="D31" s="1574"/>
      <c r="E31" s="1574"/>
      <c r="F31" s="1574"/>
      <c r="G31" s="1574"/>
      <c r="H31" s="1574"/>
      <c r="I31" s="1574"/>
      <c r="J31" s="1574"/>
      <c r="K31" s="1574"/>
      <c r="L31" s="1574"/>
      <c r="M31" s="1574"/>
      <c r="N31" s="1574"/>
      <c r="O31" s="1574"/>
      <c r="P31" s="1574"/>
      <c r="Q31" s="1574"/>
      <c r="R31" s="1574"/>
      <c r="S31" s="1574"/>
      <c r="T31" s="1574"/>
      <c r="U31" s="1574"/>
      <c r="V31" s="1574"/>
      <c r="W31" s="1574"/>
      <c r="X31" s="1574"/>
      <c r="Y31" s="1574"/>
      <c r="Z31" s="1574"/>
      <c r="AA31" s="1574"/>
      <c r="AB31" s="1574"/>
    </row>
    <row r="32" spans="1:30" ht="16.5" customHeight="1">
      <c r="A32" s="445"/>
      <c r="B32" s="445"/>
      <c r="C32" s="445"/>
      <c r="D32" s="445"/>
      <c r="E32" s="445"/>
      <c r="F32" s="445"/>
      <c r="G32" s="445"/>
      <c r="H32" s="445"/>
    </row>
    <row r="33" spans="1:30" ht="16.5" customHeight="1">
      <c r="A33" s="445"/>
      <c r="B33" s="445"/>
      <c r="C33" s="445"/>
      <c r="D33" s="445"/>
      <c r="E33" s="445"/>
      <c r="F33" s="445"/>
      <c r="G33" s="445"/>
      <c r="H33" s="445"/>
    </row>
    <row r="34" spans="1:30" ht="25.5" customHeight="1">
      <c r="B34" s="448"/>
      <c r="C34" s="448"/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820" t="s">
        <v>457</v>
      </c>
      <c r="V34" s="820"/>
      <c r="W34" s="820"/>
      <c r="X34" s="820"/>
      <c r="Y34" s="820"/>
      <c r="Z34" s="820"/>
      <c r="AA34" s="820"/>
      <c r="AB34" s="820"/>
      <c r="AC34" s="448"/>
      <c r="AD34" s="448"/>
    </row>
    <row r="35" spans="1:30" ht="25.5" customHeight="1"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820" t="s">
        <v>458</v>
      </c>
      <c r="V35" s="820"/>
      <c r="W35" s="820"/>
      <c r="X35" s="820"/>
      <c r="Y35" s="820"/>
      <c r="Z35" s="820"/>
      <c r="AA35" s="820"/>
      <c r="AB35" s="820"/>
      <c r="AC35" s="449"/>
      <c r="AD35" s="449"/>
    </row>
    <row r="36" spans="1:30" ht="12"/>
  </sheetData>
  <mergeCells count="20">
    <mergeCell ref="A1:AC1"/>
    <mergeCell ref="B3:F3"/>
    <mergeCell ref="H3:AB3"/>
    <mergeCell ref="B4:F4"/>
    <mergeCell ref="H4:AB4"/>
    <mergeCell ref="B5:F5"/>
    <mergeCell ref="H5:AB5"/>
    <mergeCell ref="B6:F6"/>
    <mergeCell ref="I6:L6"/>
    <mergeCell ref="I7:L7"/>
    <mergeCell ref="I8:L8"/>
    <mergeCell ref="B9:F9"/>
    <mergeCell ref="B11:O11"/>
    <mergeCell ref="P11:AB11"/>
    <mergeCell ref="A29:AC29"/>
    <mergeCell ref="B31:AB31"/>
    <mergeCell ref="U34:AB34"/>
    <mergeCell ref="U35:AB35"/>
    <mergeCell ref="B12:O12"/>
    <mergeCell ref="P12:AB12"/>
  </mergeCells>
  <phoneticPr fontId="5" type="noConversion"/>
  <pageMargins left="0.7" right="0.7" top="0.75" bottom="0.75" header="0.3" footer="0.3"/>
  <pageSetup paperSize="9" scale="8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32D2-E8A7-4F46-8DB4-67BCA662DE93}">
  <dimension ref="A1:CJ545"/>
  <sheetViews>
    <sheetView topLeftCell="A85" zoomScale="145" zoomScaleNormal="145" workbookViewId="0">
      <selection activeCell="Q321" sqref="Q321:S321"/>
    </sheetView>
  </sheetViews>
  <sheetFormatPr defaultColWidth="2.875" defaultRowHeight="15" customHeight="1"/>
  <cols>
    <col min="1" max="1" width="2.875" style="3"/>
    <col min="2" max="2" width="4.5" style="3" bestFit="1" customWidth="1"/>
    <col min="3" max="3" width="3.875" style="3" customWidth="1"/>
    <col min="4" max="4" width="3.375" style="3" customWidth="1"/>
    <col min="5" max="5" width="2.625" style="3" customWidth="1"/>
    <col min="6" max="7" width="2.25" style="3" customWidth="1"/>
    <col min="8" max="8" width="3.75" style="3" customWidth="1"/>
    <col min="9" max="9" width="7.75" style="3" bestFit="1" customWidth="1"/>
    <col min="10" max="10" width="2.875" style="3"/>
    <col min="11" max="11" width="3.875" style="3" bestFit="1" customWidth="1"/>
    <col min="12" max="13" width="4.625" style="3" bestFit="1" customWidth="1"/>
    <col min="14" max="14" width="5.75" style="3" bestFit="1" customWidth="1"/>
    <col min="15" max="15" width="4" style="3" customWidth="1"/>
    <col min="16" max="17" width="4.75" style="3" customWidth="1"/>
    <col min="18" max="20" width="4.5" style="3" customWidth="1"/>
    <col min="21" max="21" width="4.25" style="3" bestFit="1" customWidth="1"/>
    <col min="22" max="22" width="2.875" style="3"/>
    <col min="23" max="23" width="2" style="3" customWidth="1"/>
    <col min="24" max="24" width="2.75" style="3" customWidth="1"/>
    <col min="25" max="25" width="2.875" style="3"/>
    <col min="26" max="26" width="1.875" style="3" customWidth="1"/>
    <col min="27" max="27" width="2.875" style="3"/>
    <col min="28" max="28" width="3.5" style="3" customWidth="1"/>
    <col min="29" max="29" width="3.75" style="3" customWidth="1"/>
    <col min="30" max="30" width="3.5" style="3" customWidth="1"/>
    <col min="31" max="31" width="4" style="3" bestFit="1" customWidth="1"/>
    <col min="32" max="32" width="6.25" style="3" customWidth="1"/>
    <col min="33" max="33" width="3.75" style="3" bestFit="1" customWidth="1"/>
    <col min="34" max="34" width="4.25" style="3" bestFit="1" customWidth="1"/>
    <col min="35" max="35" width="7.125" style="3" customWidth="1"/>
    <col min="36" max="36" width="6.125" style="3" customWidth="1"/>
    <col min="37" max="37" width="7.25" style="3" customWidth="1"/>
    <col min="38" max="41" width="4.125" style="3" customWidth="1"/>
    <col min="42" max="42" width="3.875" style="3" customWidth="1"/>
    <col min="43" max="43" width="4.625" style="3" customWidth="1"/>
    <col min="44" max="44" width="2.875" style="3"/>
    <col min="45" max="49" width="3.625" style="3" customWidth="1"/>
    <col min="50" max="50" width="3.75" style="5" customWidth="1"/>
    <col min="51" max="51" width="2.875" style="5"/>
    <col min="52" max="53" width="3.875" style="3" customWidth="1"/>
    <col min="54" max="54" width="3.375" style="3" customWidth="1"/>
    <col min="55" max="55" width="10.625" style="3" customWidth="1"/>
    <col min="56" max="57" width="8.25" style="3" customWidth="1"/>
    <col min="58" max="61" width="3.875" style="3" customWidth="1"/>
    <col min="62" max="62" width="5.125" style="3" customWidth="1"/>
    <col min="63" max="63" width="3.125" style="3" customWidth="1"/>
    <col min="64" max="65" width="2.875" style="3"/>
    <col min="66" max="66" width="4.375" style="3" customWidth="1"/>
    <col min="67" max="254" width="2.875" style="3"/>
    <col min="255" max="255" width="3.75" style="3" customWidth="1"/>
    <col min="256" max="267" width="2.875" style="3"/>
    <col min="268" max="268" width="8.75" style="3" bestFit="1" customWidth="1"/>
    <col min="269" max="276" width="2.875" style="3"/>
    <col min="277" max="277" width="8.25" style="3" bestFit="1" customWidth="1"/>
    <col min="278" max="278" width="8.75" style="3" bestFit="1" customWidth="1"/>
    <col min="279" max="279" width="7.5" style="3" bestFit="1" customWidth="1"/>
    <col min="280" max="510" width="2.875" style="3"/>
    <col min="511" max="511" width="3.75" style="3" customWidth="1"/>
    <col min="512" max="523" width="2.875" style="3"/>
    <col min="524" max="524" width="8.75" style="3" bestFit="1" customWidth="1"/>
    <col min="525" max="532" width="2.875" style="3"/>
    <col min="533" max="533" width="8.25" style="3" bestFit="1" customWidth="1"/>
    <col min="534" max="534" width="8.75" style="3" bestFit="1" customWidth="1"/>
    <col min="535" max="535" width="7.5" style="3" bestFit="1" customWidth="1"/>
    <col min="536" max="766" width="2.875" style="3"/>
    <col min="767" max="767" width="3.75" style="3" customWidth="1"/>
    <col min="768" max="779" width="2.875" style="3"/>
    <col min="780" max="780" width="8.75" style="3" bestFit="1" customWidth="1"/>
    <col min="781" max="788" width="2.875" style="3"/>
    <col min="789" max="789" width="8.25" style="3" bestFit="1" customWidth="1"/>
    <col min="790" max="790" width="8.75" style="3" bestFit="1" customWidth="1"/>
    <col min="791" max="791" width="7.5" style="3" bestFit="1" customWidth="1"/>
    <col min="792" max="1022" width="2.875" style="3"/>
    <col min="1023" max="1023" width="3.75" style="3" customWidth="1"/>
    <col min="1024" max="1035" width="2.875" style="3"/>
    <col min="1036" max="1036" width="8.75" style="3" bestFit="1" customWidth="1"/>
    <col min="1037" max="1044" width="2.875" style="3"/>
    <col min="1045" max="1045" width="8.25" style="3" bestFit="1" customWidth="1"/>
    <col min="1046" max="1046" width="8.75" style="3" bestFit="1" customWidth="1"/>
    <col min="1047" max="1047" width="7.5" style="3" bestFit="1" customWidth="1"/>
    <col min="1048" max="1278" width="2.875" style="3"/>
    <col min="1279" max="1279" width="3.75" style="3" customWidth="1"/>
    <col min="1280" max="1291" width="2.875" style="3"/>
    <col min="1292" max="1292" width="8.75" style="3" bestFit="1" customWidth="1"/>
    <col min="1293" max="1300" width="2.875" style="3"/>
    <col min="1301" max="1301" width="8.25" style="3" bestFit="1" customWidth="1"/>
    <col min="1302" max="1302" width="8.75" style="3" bestFit="1" customWidth="1"/>
    <col min="1303" max="1303" width="7.5" style="3" bestFit="1" customWidth="1"/>
    <col min="1304" max="1534" width="2.875" style="3"/>
    <col min="1535" max="1535" width="3.75" style="3" customWidth="1"/>
    <col min="1536" max="1547" width="2.875" style="3"/>
    <col min="1548" max="1548" width="8.75" style="3" bestFit="1" customWidth="1"/>
    <col min="1549" max="1556" width="2.875" style="3"/>
    <col min="1557" max="1557" width="8.25" style="3" bestFit="1" customWidth="1"/>
    <col min="1558" max="1558" width="8.75" style="3" bestFit="1" customWidth="1"/>
    <col min="1559" max="1559" width="7.5" style="3" bestFit="1" customWidth="1"/>
    <col min="1560" max="1790" width="2.875" style="3"/>
    <col min="1791" max="1791" width="3.75" style="3" customWidth="1"/>
    <col min="1792" max="1803" width="2.875" style="3"/>
    <col min="1804" max="1804" width="8.75" style="3" bestFit="1" customWidth="1"/>
    <col min="1805" max="1812" width="2.875" style="3"/>
    <col min="1813" max="1813" width="8.25" style="3" bestFit="1" customWidth="1"/>
    <col min="1814" max="1814" width="8.75" style="3" bestFit="1" customWidth="1"/>
    <col min="1815" max="1815" width="7.5" style="3" bestFit="1" customWidth="1"/>
    <col min="1816" max="2046" width="2.875" style="3"/>
    <col min="2047" max="2047" width="3.75" style="3" customWidth="1"/>
    <col min="2048" max="2059" width="2.875" style="3"/>
    <col min="2060" max="2060" width="8.75" style="3" bestFit="1" customWidth="1"/>
    <col min="2061" max="2068" width="2.875" style="3"/>
    <col min="2069" max="2069" width="8.25" style="3" bestFit="1" customWidth="1"/>
    <col min="2070" max="2070" width="8.75" style="3" bestFit="1" customWidth="1"/>
    <col min="2071" max="2071" width="7.5" style="3" bestFit="1" customWidth="1"/>
    <col min="2072" max="2302" width="2.875" style="3"/>
    <col min="2303" max="2303" width="3.75" style="3" customWidth="1"/>
    <col min="2304" max="2315" width="2.875" style="3"/>
    <col min="2316" max="2316" width="8.75" style="3" bestFit="1" customWidth="1"/>
    <col min="2317" max="2324" width="2.875" style="3"/>
    <col min="2325" max="2325" width="8.25" style="3" bestFit="1" customWidth="1"/>
    <col min="2326" max="2326" width="8.75" style="3" bestFit="1" customWidth="1"/>
    <col min="2327" max="2327" width="7.5" style="3" bestFit="1" customWidth="1"/>
    <col min="2328" max="2558" width="2.875" style="3"/>
    <col min="2559" max="2559" width="3.75" style="3" customWidth="1"/>
    <col min="2560" max="2571" width="2.875" style="3"/>
    <col min="2572" max="2572" width="8.75" style="3" bestFit="1" customWidth="1"/>
    <col min="2573" max="2580" width="2.875" style="3"/>
    <col min="2581" max="2581" width="8.25" style="3" bestFit="1" customWidth="1"/>
    <col min="2582" max="2582" width="8.75" style="3" bestFit="1" customWidth="1"/>
    <col min="2583" max="2583" width="7.5" style="3" bestFit="1" customWidth="1"/>
    <col min="2584" max="2814" width="2.875" style="3"/>
    <col min="2815" max="2815" width="3.75" style="3" customWidth="1"/>
    <col min="2816" max="2827" width="2.875" style="3"/>
    <col min="2828" max="2828" width="8.75" style="3" bestFit="1" customWidth="1"/>
    <col min="2829" max="2836" width="2.875" style="3"/>
    <col min="2837" max="2837" width="8.25" style="3" bestFit="1" customWidth="1"/>
    <col min="2838" max="2838" width="8.75" style="3" bestFit="1" customWidth="1"/>
    <col min="2839" max="2839" width="7.5" style="3" bestFit="1" customWidth="1"/>
    <col min="2840" max="3070" width="2.875" style="3"/>
    <col min="3071" max="3071" width="3.75" style="3" customWidth="1"/>
    <col min="3072" max="3083" width="2.875" style="3"/>
    <col min="3084" max="3084" width="8.75" style="3" bestFit="1" customWidth="1"/>
    <col min="3085" max="3092" width="2.875" style="3"/>
    <col min="3093" max="3093" width="8.25" style="3" bestFit="1" customWidth="1"/>
    <col min="3094" max="3094" width="8.75" style="3" bestFit="1" customWidth="1"/>
    <col min="3095" max="3095" width="7.5" style="3" bestFit="1" customWidth="1"/>
    <col min="3096" max="3326" width="2.875" style="3"/>
    <col min="3327" max="3327" width="3.75" style="3" customWidth="1"/>
    <col min="3328" max="3339" width="2.875" style="3"/>
    <col min="3340" max="3340" width="8.75" style="3" bestFit="1" customWidth="1"/>
    <col min="3341" max="3348" width="2.875" style="3"/>
    <col min="3349" max="3349" width="8.25" style="3" bestFit="1" customWidth="1"/>
    <col min="3350" max="3350" width="8.75" style="3" bestFit="1" customWidth="1"/>
    <col min="3351" max="3351" width="7.5" style="3" bestFit="1" customWidth="1"/>
    <col min="3352" max="3582" width="2.875" style="3"/>
    <col min="3583" max="3583" width="3.75" style="3" customWidth="1"/>
    <col min="3584" max="3595" width="2.875" style="3"/>
    <col min="3596" max="3596" width="8.75" style="3" bestFit="1" customWidth="1"/>
    <col min="3597" max="3604" width="2.875" style="3"/>
    <col min="3605" max="3605" width="8.25" style="3" bestFit="1" customWidth="1"/>
    <col min="3606" max="3606" width="8.75" style="3" bestFit="1" customWidth="1"/>
    <col min="3607" max="3607" width="7.5" style="3" bestFit="1" customWidth="1"/>
    <col min="3608" max="3838" width="2.875" style="3"/>
    <col min="3839" max="3839" width="3.75" style="3" customWidth="1"/>
    <col min="3840" max="3851" width="2.875" style="3"/>
    <col min="3852" max="3852" width="8.75" style="3" bestFit="1" customWidth="1"/>
    <col min="3853" max="3860" width="2.875" style="3"/>
    <col min="3861" max="3861" width="8.25" style="3" bestFit="1" customWidth="1"/>
    <col min="3862" max="3862" width="8.75" style="3" bestFit="1" customWidth="1"/>
    <col min="3863" max="3863" width="7.5" style="3" bestFit="1" customWidth="1"/>
    <col min="3864" max="4094" width="2.875" style="3"/>
    <col min="4095" max="4095" width="3.75" style="3" customWidth="1"/>
    <col min="4096" max="4107" width="2.875" style="3"/>
    <col min="4108" max="4108" width="8.75" style="3" bestFit="1" customWidth="1"/>
    <col min="4109" max="4116" width="2.875" style="3"/>
    <col min="4117" max="4117" width="8.25" style="3" bestFit="1" customWidth="1"/>
    <col min="4118" max="4118" width="8.75" style="3" bestFit="1" customWidth="1"/>
    <col min="4119" max="4119" width="7.5" style="3" bestFit="1" customWidth="1"/>
    <col min="4120" max="4350" width="2.875" style="3"/>
    <col min="4351" max="4351" width="3.75" style="3" customWidth="1"/>
    <col min="4352" max="4363" width="2.875" style="3"/>
    <col min="4364" max="4364" width="8.75" style="3" bestFit="1" customWidth="1"/>
    <col min="4365" max="4372" width="2.875" style="3"/>
    <col min="4373" max="4373" width="8.25" style="3" bestFit="1" customWidth="1"/>
    <col min="4374" max="4374" width="8.75" style="3" bestFit="1" customWidth="1"/>
    <col min="4375" max="4375" width="7.5" style="3" bestFit="1" customWidth="1"/>
    <col min="4376" max="4606" width="2.875" style="3"/>
    <col min="4607" max="4607" width="3.75" style="3" customWidth="1"/>
    <col min="4608" max="4619" width="2.875" style="3"/>
    <col min="4620" max="4620" width="8.75" style="3" bestFit="1" customWidth="1"/>
    <col min="4621" max="4628" width="2.875" style="3"/>
    <col min="4629" max="4629" width="8.25" style="3" bestFit="1" customWidth="1"/>
    <col min="4630" max="4630" width="8.75" style="3" bestFit="1" customWidth="1"/>
    <col min="4631" max="4631" width="7.5" style="3" bestFit="1" customWidth="1"/>
    <col min="4632" max="4862" width="2.875" style="3"/>
    <col min="4863" max="4863" width="3.75" style="3" customWidth="1"/>
    <col min="4864" max="4875" width="2.875" style="3"/>
    <col min="4876" max="4876" width="8.75" style="3" bestFit="1" customWidth="1"/>
    <col min="4877" max="4884" width="2.875" style="3"/>
    <col min="4885" max="4885" width="8.25" style="3" bestFit="1" customWidth="1"/>
    <col min="4886" max="4886" width="8.75" style="3" bestFit="1" customWidth="1"/>
    <col min="4887" max="4887" width="7.5" style="3" bestFit="1" customWidth="1"/>
    <col min="4888" max="5118" width="2.875" style="3"/>
    <col min="5119" max="5119" width="3.75" style="3" customWidth="1"/>
    <col min="5120" max="5131" width="2.875" style="3"/>
    <col min="5132" max="5132" width="8.75" style="3" bestFit="1" customWidth="1"/>
    <col min="5133" max="5140" width="2.875" style="3"/>
    <col min="5141" max="5141" width="8.25" style="3" bestFit="1" customWidth="1"/>
    <col min="5142" max="5142" width="8.75" style="3" bestFit="1" customWidth="1"/>
    <col min="5143" max="5143" width="7.5" style="3" bestFit="1" customWidth="1"/>
    <col min="5144" max="5374" width="2.875" style="3"/>
    <col min="5375" max="5375" width="3.75" style="3" customWidth="1"/>
    <col min="5376" max="5387" width="2.875" style="3"/>
    <col min="5388" max="5388" width="8.75" style="3" bestFit="1" customWidth="1"/>
    <col min="5389" max="5396" width="2.875" style="3"/>
    <col min="5397" max="5397" width="8.25" style="3" bestFit="1" customWidth="1"/>
    <col min="5398" max="5398" width="8.75" style="3" bestFit="1" customWidth="1"/>
    <col min="5399" max="5399" width="7.5" style="3" bestFit="1" customWidth="1"/>
    <col min="5400" max="5630" width="2.875" style="3"/>
    <col min="5631" max="5631" width="3.75" style="3" customWidth="1"/>
    <col min="5632" max="5643" width="2.875" style="3"/>
    <col min="5644" max="5644" width="8.75" style="3" bestFit="1" customWidth="1"/>
    <col min="5645" max="5652" width="2.875" style="3"/>
    <col min="5653" max="5653" width="8.25" style="3" bestFit="1" customWidth="1"/>
    <col min="5654" max="5654" width="8.75" style="3" bestFit="1" customWidth="1"/>
    <col min="5655" max="5655" width="7.5" style="3" bestFit="1" customWidth="1"/>
    <col min="5656" max="5886" width="2.875" style="3"/>
    <col min="5887" max="5887" width="3.75" style="3" customWidth="1"/>
    <col min="5888" max="5899" width="2.875" style="3"/>
    <col min="5900" max="5900" width="8.75" style="3" bestFit="1" customWidth="1"/>
    <col min="5901" max="5908" width="2.875" style="3"/>
    <col min="5909" max="5909" width="8.25" style="3" bestFit="1" customWidth="1"/>
    <col min="5910" max="5910" width="8.75" style="3" bestFit="1" customWidth="1"/>
    <col min="5911" max="5911" width="7.5" style="3" bestFit="1" customWidth="1"/>
    <col min="5912" max="6142" width="2.875" style="3"/>
    <col min="6143" max="6143" width="3.75" style="3" customWidth="1"/>
    <col min="6144" max="6155" width="2.875" style="3"/>
    <col min="6156" max="6156" width="8.75" style="3" bestFit="1" customWidth="1"/>
    <col min="6157" max="6164" width="2.875" style="3"/>
    <col min="6165" max="6165" width="8.25" style="3" bestFit="1" customWidth="1"/>
    <col min="6166" max="6166" width="8.75" style="3" bestFit="1" customWidth="1"/>
    <col min="6167" max="6167" width="7.5" style="3" bestFit="1" customWidth="1"/>
    <col min="6168" max="6398" width="2.875" style="3"/>
    <col min="6399" max="6399" width="3.75" style="3" customWidth="1"/>
    <col min="6400" max="6411" width="2.875" style="3"/>
    <col min="6412" max="6412" width="8.75" style="3" bestFit="1" customWidth="1"/>
    <col min="6413" max="6420" width="2.875" style="3"/>
    <col min="6421" max="6421" width="8.25" style="3" bestFit="1" customWidth="1"/>
    <col min="6422" max="6422" width="8.75" style="3" bestFit="1" customWidth="1"/>
    <col min="6423" max="6423" width="7.5" style="3" bestFit="1" customWidth="1"/>
    <col min="6424" max="6654" width="2.875" style="3"/>
    <col min="6655" max="6655" width="3.75" style="3" customWidth="1"/>
    <col min="6656" max="6667" width="2.875" style="3"/>
    <col min="6668" max="6668" width="8.75" style="3" bestFit="1" customWidth="1"/>
    <col min="6669" max="6676" width="2.875" style="3"/>
    <col min="6677" max="6677" width="8.25" style="3" bestFit="1" customWidth="1"/>
    <col min="6678" max="6678" width="8.75" style="3" bestFit="1" customWidth="1"/>
    <col min="6679" max="6679" width="7.5" style="3" bestFit="1" customWidth="1"/>
    <col min="6680" max="6910" width="2.875" style="3"/>
    <col min="6911" max="6911" width="3.75" style="3" customWidth="1"/>
    <col min="6912" max="6923" width="2.875" style="3"/>
    <col min="6924" max="6924" width="8.75" style="3" bestFit="1" customWidth="1"/>
    <col min="6925" max="6932" width="2.875" style="3"/>
    <col min="6933" max="6933" width="8.25" style="3" bestFit="1" customWidth="1"/>
    <col min="6934" max="6934" width="8.75" style="3" bestFit="1" customWidth="1"/>
    <col min="6935" max="6935" width="7.5" style="3" bestFit="1" customWidth="1"/>
    <col min="6936" max="7166" width="2.875" style="3"/>
    <col min="7167" max="7167" width="3.75" style="3" customWidth="1"/>
    <col min="7168" max="7179" width="2.875" style="3"/>
    <col min="7180" max="7180" width="8.75" style="3" bestFit="1" customWidth="1"/>
    <col min="7181" max="7188" width="2.875" style="3"/>
    <col min="7189" max="7189" width="8.25" style="3" bestFit="1" customWidth="1"/>
    <col min="7190" max="7190" width="8.75" style="3" bestFit="1" customWidth="1"/>
    <col min="7191" max="7191" width="7.5" style="3" bestFit="1" customWidth="1"/>
    <col min="7192" max="7422" width="2.875" style="3"/>
    <col min="7423" max="7423" width="3.75" style="3" customWidth="1"/>
    <col min="7424" max="7435" width="2.875" style="3"/>
    <col min="7436" max="7436" width="8.75" style="3" bestFit="1" customWidth="1"/>
    <col min="7437" max="7444" width="2.875" style="3"/>
    <col min="7445" max="7445" width="8.25" style="3" bestFit="1" customWidth="1"/>
    <col min="7446" max="7446" width="8.75" style="3" bestFit="1" customWidth="1"/>
    <col min="7447" max="7447" width="7.5" style="3" bestFit="1" customWidth="1"/>
    <col min="7448" max="7678" width="2.875" style="3"/>
    <col min="7679" max="7679" width="3.75" style="3" customWidth="1"/>
    <col min="7680" max="7691" width="2.875" style="3"/>
    <col min="7692" max="7692" width="8.75" style="3" bestFit="1" customWidth="1"/>
    <col min="7693" max="7700" width="2.875" style="3"/>
    <col min="7701" max="7701" width="8.25" style="3" bestFit="1" customWidth="1"/>
    <col min="7702" max="7702" width="8.75" style="3" bestFit="1" customWidth="1"/>
    <col min="7703" max="7703" width="7.5" style="3" bestFit="1" customWidth="1"/>
    <col min="7704" max="7934" width="2.875" style="3"/>
    <col min="7935" max="7935" width="3.75" style="3" customWidth="1"/>
    <col min="7936" max="7947" width="2.875" style="3"/>
    <col min="7948" max="7948" width="8.75" style="3" bestFit="1" customWidth="1"/>
    <col min="7949" max="7956" width="2.875" style="3"/>
    <col min="7957" max="7957" width="8.25" style="3" bestFit="1" customWidth="1"/>
    <col min="7958" max="7958" width="8.75" style="3" bestFit="1" customWidth="1"/>
    <col min="7959" max="7959" width="7.5" style="3" bestFit="1" customWidth="1"/>
    <col min="7960" max="8190" width="2.875" style="3"/>
    <col min="8191" max="8191" width="3.75" style="3" customWidth="1"/>
    <col min="8192" max="8203" width="2.875" style="3"/>
    <col min="8204" max="8204" width="8.75" style="3" bestFit="1" customWidth="1"/>
    <col min="8205" max="8212" width="2.875" style="3"/>
    <col min="8213" max="8213" width="8.25" style="3" bestFit="1" customWidth="1"/>
    <col min="8214" max="8214" width="8.75" style="3" bestFit="1" customWidth="1"/>
    <col min="8215" max="8215" width="7.5" style="3" bestFit="1" customWidth="1"/>
    <col min="8216" max="8446" width="2.875" style="3"/>
    <col min="8447" max="8447" width="3.75" style="3" customWidth="1"/>
    <col min="8448" max="8459" width="2.875" style="3"/>
    <col min="8460" max="8460" width="8.75" style="3" bestFit="1" customWidth="1"/>
    <col min="8461" max="8468" width="2.875" style="3"/>
    <col min="8469" max="8469" width="8.25" style="3" bestFit="1" customWidth="1"/>
    <col min="8470" max="8470" width="8.75" style="3" bestFit="1" customWidth="1"/>
    <col min="8471" max="8471" width="7.5" style="3" bestFit="1" customWidth="1"/>
    <col min="8472" max="8702" width="2.875" style="3"/>
    <col min="8703" max="8703" width="3.75" style="3" customWidth="1"/>
    <col min="8704" max="8715" width="2.875" style="3"/>
    <col min="8716" max="8716" width="8.75" style="3" bestFit="1" customWidth="1"/>
    <col min="8717" max="8724" width="2.875" style="3"/>
    <col min="8725" max="8725" width="8.25" style="3" bestFit="1" customWidth="1"/>
    <col min="8726" max="8726" width="8.75" style="3" bestFit="1" customWidth="1"/>
    <col min="8727" max="8727" width="7.5" style="3" bestFit="1" customWidth="1"/>
    <col min="8728" max="8958" width="2.875" style="3"/>
    <col min="8959" max="8959" width="3.75" style="3" customWidth="1"/>
    <col min="8960" max="8971" width="2.875" style="3"/>
    <col min="8972" max="8972" width="8.75" style="3" bestFit="1" customWidth="1"/>
    <col min="8973" max="8980" width="2.875" style="3"/>
    <col min="8981" max="8981" width="8.25" style="3" bestFit="1" customWidth="1"/>
    <col min="8982" max="8982" width="8.75" style="3" bestFit="1" customWidth="1"/>
    <col min="8983" max="8983" width="7.5" style="3" bestFit="1" customWidth="1"/>
    <col min="8984" max="9214" width="2.875" style="3"/>
    <col min="9215" max="9215" width="3.75" style="3" customWidth="1"/>
    <col min="9216" max="9227" width="2.875" style="3"/>
    <col min="9228" max="9228" width="8.75" style="3" bestFit="1" customWidth="1"/>
    <col min="9229" max="9236" width="2.875" style="3"/>
    <col min="9237" max="9237" width="8.25" style="3" bestFit="1" customWidth="1"/>
    <col min="9238" max="9238" width="8.75" style="3" bestFit="1" customWidth="1"/>
    <col min="9239" max="9239" width="7.5" style="3" bestFit="1" customWidth="1"/>
    <col min="9240" max="9470" width="2.875" style="3"/>
    <col min="9471" max="9471" width="3.75" style="3" customWidth="1"/>
    <col min="9472" max="9483" width="2.875" style="3"/>
    <col min="9484" max="9484" width="8.75" style="3" bestFit="1" customWidth="1"/>
    <col min="9485" max="9492" width="2.875" style="3"/>
    <col min="9493" max="9493" width="8.25" style="3" bestFit="1" customWidth="1"/>
    <col min="9494" max="9494" width="8.75" style="3" bestFit="1" customWidth="1"/>
    <col min="9495" max="9495" width="7.5" style="3" bestFit="1" customWidth="1"/>
    <col min="9496" max="9726" width="2.875" style="3"/>
    <col min="9727" max="9727" width="3.75" style="3" customWidth="1"/>
    <col min="9728" max="9739" width="2.875" style="3"/>
    <col min="9740" max="9740" width="8.75" style="3" bestFit="1" customWidth="1"/>
    <col min="9741" max="9748" width="2.875" style="3"/>
    <col min="9749" max="9749" width="8.25" style="3" bestFit="1" customWidth="1"/>
    <col min="9750" max="9750" width="8.75" style="3" bestFit="1" customWidth="1"/>
    <col min="9751" max="9751" width="7.5" style="3" bestFit="1" customWidth="1"/>
    <col min="9752" max="9982" width="2.875" style="3"/>
    <col min="9983" max="9983" width="3.75" style="3" customWidth="1"/>
    <col min="9984" max="9995" width="2.875" style="3"/>
    <col min="9996" max="9996" width="8.75" style="3" bestFit="1" customWidth="1"/>
    <col min="9997" max="10004" width="2.875" style="3"/>
    <col min="10005" max="10005" width="8.25" style="3" bestFit="1" customWidth="1"/>
    <col min="10006" max="10006" width="8.75" style="3" bestFit="1" customWidth="1"/>
    <col min="10007" max="10007" width="7.5" style="3" bestFit="1" customWidth="1"/>
    <col min="10008" max="10238" width="2.875" style="3"/>
    <col min="10239" max="10239" width="3.75" style="3" customWidth="1"/>
    <col min="10240" max="10251" width="2.875" style="3"/>
    <col min="10252" max="10252" width="8.75" style="3" bestFit="1" customWidth="1"/>
    <col min="10253" max="10260" width="2.875" style="3"/>
    <col min="10261" max="10261" width="8.25" style="3" bestFit="1" customWidth="1"/>
    <col min="10262" max="10262" width="8.75" style="3" bestFit="1" customWidth="1"/>
    <col min="10263" max="10263" width="7.5" style="3" bestFit="1" customWidth="1"/>
    <col min="10264" max="10494" width="2.875" style="3"/>
    <col min="10495" max="10495" width="3.75" style="3" customWidth="1"/>
    <col min="10496" max="10507" width="2.875" style="3"/>
    <col min="10508" max="10508" width="8.75" style="3" bestFit="1" customWidth="1"/>
    <col min="10509" max="10516" width="2.875" style="3"/>
    <col min="10517" max="10517" width="8.25" style="3" bestFit="1" customWidth="1"/>
    <col min="10518" max="10518" width="8.75" style="3" bestFit="1" customWidth="1"/>
    <col min="10519" max="10519" width="7.5" style="3" bestFit="1" customWidth="1"/>
    <col min="10520" max="10750" width="2.875" style="3"/>
    <col min="10751" max="10751" width="3.75" style="3" customWidth="1"/>
    <col min="10752" max="10763" width="2.875" style="3"/>
    <col min="10764" max="10764" width="8.75" style="3" bestFit="1" customWidth="1"/>
    <col min="10765" max="10772" width="2.875" style="3"/>
    <col min="10773" max="10773" width="8.25" style="3" bestFit="1" customWidth="1"/>
    <col min="10774" max="10774" width="8.75" style="3" bestFit="1" customWidth="1"/>
    <col min="10775" max="10775" width="7.5" style="3" bestFit="1" customWidth="1"/>
    <col min="10776" max="11006" width="2.875" style="3"/>
    <col min="11007" max="11007" width="3.75" style="3" customWidth="1"/>
    <col min="11008" max="11019" width="2.875" style="3"/>
    <col min="11020" max="11020" width="8.75" style="3" bestFit="1" customWidth="1"/>
    <col min="11021" max="11028" width="2.875" style="3"/>
    <col min="11029" max="11029" width="8.25" style="3" bestFit="1" customWidth="1"/>
    <col min="11030" max="11030" width="8.75" style="3" bestFit="1" customWidth="1"/>
    <col min="11031" max="11031" width="7.5" style="3" bestFit="1" customWidth="1"/>
    <col min="11032" max="11262" width="2.875" style="3"/>
    <col min="11263" max="11263" width="3.75" style="3" customWidth="1"/>
    <col min="11264" max="11275" width="2.875" style="3"/>
    <col min="11276" max="11276" width="8.75" style="3" bestFit="1" customWidth="1"/>
    <col min="11277" max="11284" width="2.875" style="3"/>
    <col min="11285" max="11285" width="8.25" style="3" bestFit="1" customWidth="1"/>
    <col min="11286" max="11286" width="8.75" style="3" bestFit="1" customWidth="1"/>
    <col min="11287" max="11287" width="7.5" style="3" bestFit="1" customWidth="1"/>
    <col min="11288" max="11518" width="2.875" style="3"/>
    <col min="11519" max="11519" width="3.75" style="3" customWidth="1"/>
    <col min="11520" max="11531" width="2.875" style="3"/>
    <col min="11532" max="11532" width="8.75" style="3" bestFit="1" customWidth="1"/>
    <col min="11533" max="11540" width="2.875" style="3"/>
    <col min="11541" max="11541" width="8.25" style="3" bestFit="1" customWidth="1"/>
    <col min="11542" max="11542" width="8.75" style="3" bestFit="1" customWidth="1"/>
    <col min="11543" max="11543" width="7.5" style="3" bestFit="1" customWidth="1"/>
    <col min="11544" max="11774" width="2.875" style="3"/>
    <col min="11775" max="11775" width="3.75" style="3" customWidth="1"/>
    <col min="11776" max="11787" width="2.875" style="3"/>
    <col min="11788" max="11788" width="8.75" style="3" bestFit="1" customWidth="1"/>
    <col min="11789" max="11796" width="2.875" style="3"/>
    <col min="11797" max="11797" width="8.25" style="3" bestFit="1" customWidth="1"/>
    <col min="11798" max="11798" width="8.75" style="3" bestFit="1" customWidth="1"/>
    <col min="11799" max="11799" width="7.5" style="3" bestFit="1" customWidth="1"/>
    <col min="11800" max="12030" width="2.875" style="3"/>
    <col min="12031" max="12031" width="3.75" style="3" customWidth="1"/>
    <col min="12032" max="12043" width="2.875" style="3"/>
    <col min="12044" max="12044" width="8.75" style="3" bestFit="1" customWidth="1"/>
    <col min="12045" max="12052" width="2.875" style="3"/>
    <col min="12053" max="12053" width="8.25" style="3" bestFit="1" customWidth="1"/>
    <col min="12054" max="12054" width="8.75" style="3" bestFit="1" customWidth="1"/>
    <col min="12055" max="12055" width="7.5" style="3" bestFit="1" customWidth="1"/>
    <col min="12056" max="12286" width="2.875" style="3"/>
    <col min="12287" max="12287" width="3.75" style="3" customWidth="1"/>
    <col min="12288" max="12299" width="2.875" style="3"/>
    <col min="12300" max="12300" width="8.75" style="3" bestFit="1" customWidth="1"/>
    <col min="12301" max="12308" width="2.875" style="3"/>
    <col min="12309" max="12309" width="8.25" style="3" bestFit="1" customWidth="1"/>
    <col min="12310" max="12310" width="8.75" style="3" bestFit="1" customWidth="1"/>
    <col min="12311" max="12311" width="7.5" style="3" bestFit="1" customWidth="1"/>
    <col min="12312" max="12542" width="2.875" style="3"/>
    <col min="12543" max="12543" width="3.75" style="3" customWidth="1"/>
    <col min="12544" max="12555" width="2.875" style="3"/>
    <col min="12556" max="12556" width="8.75" style="3" bestFit="1" customWidth="1"/>
    <col min="12557" max="12564" width="2.875" style="3"/>
    <col min="12565" max="12565" width="8.25" style="3" bestFit="1" customWidth="1"/>
    <col min="12566" max="12566" width="8.75" style="3" bestFit="1" customWidth="1"/>
    <col min="12567" max="12567" width="7.5" style="3" bestFit="1" customWidth="1"/>
    <col min="12568" max="12798" width="2.875" style="3"/>
    <col min="12799" max="12799" width="3.75" style="3" customWidth="1"/>
    <col min="12800" max="12811" width="2.875" style="3"/>
    <col min="12812" max="12812" width="8.75" style="3" bestFit="1" customWidth="1"/>
    <col min="12813" max="12820" width="2.875" style="3"/>
    <col min="12821" max="12821" width="8.25" style="3" bestFit="1" customWidth="1"/>
    <col min="12822" max="12822" width="8.75" style="3" bestFit="1" customWidth="1"/>
    <col min="12823" max="12823" width="7.5" style="3" bestFit="1" customWidth="1"/>
    <col min="12824" max="13054" width="2.875" style="3"/>
    <col min="13055" max="13055" width="3.75" style="3" customWidth="1"/>
    <col min="13056" max="13067" width="2.875" style="3"/>
    <col min="13068" max="13068" width="8.75" style="3" bestFit="1" customWidth="1"/>
    <col min="13069" max="13076" width="2.875" style="3"/>
    <col min="13077" max="13077" width="8.25" style="3" bestFit="1" customWidth="1"/>
    <col min="13078" max="13078" width="8.75" style="3" bestFit="1" customWidth="1"/>
    <col min="13079" max="13079" width="7.5" style="3" bestFit="1" customWidth="1"/>
    <col min="13080" max="13310" width="2.875" style="3"/>
    <col min="13311" max="13311" width="3.75" style="3" customWidth="1"/>
    <col min="13312" max="13323" width="2.875" style="3"/>
    <col min="13324" max="13324" width="8.75" style="3" bestFit="1" customWidth="1"/>
    <col min="13325" max="13332" width="2.875" style="3"/>
    <col min="13333" max="13333" width="8.25" style="3" bestFit="1" customWidth="1"/>
    <col min="13334" max="13334" width="8.75" style="3" bestFit="1" customWidth="1"/>
    <col min="13335" max="13335" width="7.5" style="3" bestFit="1" customWidth="1"/>
    <col min="13336" max="13566" width="2.875" style="3"/>
    <col min="13567" max="13567" width="3.75" style="3" customWidth="1"/>
    <col min="13568" max="13579" width="2.875" style="3"/>
    <col min="13580" max="13580" width="8.75" style="3" bestFit="1" customWidth="1"/>
    <col min="13581" max="13588" width="2.875" style="3"/>
    <col min="13589" max="13589" width="8.25" style="3" bestFit="1" customWidth="1"/>
    <col min="13590" max="13590" width="8.75" style="3" bestFit="1" customWidth="1"/>
    <col min="13591" max="13591" width="7.5" style="3" bestFit="1" customWidth="1"/>
    <col min="13592" max="13822" width="2.875" style="3"/>
    <col min="13823" max="13823" width="3.75" style="3" customWidth="1"/>
    <col min="13824" max="13835" width="2.875" style="3"/>
    <col min="13836" max="13836" width="8.75" style="3" bestFit="1" customWidth="1"/>
    <col min="13837" max="13844" width="2.875" style="3"/>
    <col min="13845" max="13845" width="8.25" style="3" bestFit="1" customWidth="1"/>
    <col min="13846" max="13846" width="8.75" style="3" bestFit="1" customWidth="1"/>
    <col min="13847" max="13847" width="7.5" style="3" bestFit="1" customWidth="1"/>
    <col min="13848" max="14078" width="2.875" style="3"/>
    <col min="14079" max="14079" width="3.75" style="3" customWidth="1"/>
    <col min="14080" max="14091" width="2.875" style="3"/>
    <col min="14092" max="14092" width="8.75" style="3" bestFit="1" customWidth="1"/>
    <col min="14093" max="14100" width="2.875" style="3"/>
    <col min="14101" max="14101" width="8.25" style="3" bestFit="1" customWidth="1"/>
    <col min="14102" max="14102" width="8.75" style="3" bestFit="1" customWidth="1"/>
    <col min="14103" max="14103" width="7.5" style="3" bestFit="1" customWidth="1"/>
    <col min="14104" max="14334" width="2.875" style="3"/>
    <col min="14335" max="14335" width="3.75" style="3" customWidth="1"/>
    <col min="14336" max="14347" width="2.875" style="3"/>
    <col min="14348" max="14348" width="8.75" style="3" bestFit="1" customWidth="1"/>
    <col min="14349" max="14356" width="2.875" style="3"/>
    <col min="14357" max="14357" width="8.25" style="3" bestFit="1" customWidth="1"/>
    <col min="14358" max="14358" width="8.75" style="3" bestFit="1" customWidth="1"/>
    <col min="14359" max="14359" width="7.5" style="3" bestFit="1" customWidth="1"/>
    <col min="14360" max="14590" width="2.875" style="3"/>
    <col min="14591" max="14591" width="3.75" style="3" customWidth="1"/>
    <col min="14592" max="14603" width="2.875" style="3"/>
    <col min="14604" max="14604" width="8.75" style="3" bestFit="1" customWidth="1"/>
    <col min="14605" max="14612" width="2.875" style="3"/>
    <col min="14613" max="14613" width="8.25" style="3" bestFit="1" customWidth="1"/>
    <col min="14614" max="14614" width="8.75" style="3" bestFit="1" customWidth="1"/>
    <col min="14615" max="14615" width="7.5" style="3" bestFit="1" customWidth="1"/>
    <col min="14616" max="14846" width="2.875" style="3"/>
    <col min="14847" max="14847" width="3.75" style="3" customWidth="1"/>
    <col min="14848" max="14859" width="2.875" style="3"/>
    <col min="14860" max="14860" width="8.75" style="3" bestFit="1" customWidth="1"/>
    <col min="14861" max="14868" width="2.875" style="3"/>
    <col min="14869" max="14869" width="8.25" style="3" bestFit="1" customWidth="1"/>
    <col min="14870" max="14870" width="8.75" style="3" bestFit="1" customWidth="1"/>
    <col min="14871" max="14871" width="7.5" style="3" bestFit="1" customWidth="1"/>
    <col min="14872" max="15102" width="2.875" style="3"/>
    <col min="15103" max="15103" width="3.75" style="3" customWidth="1"/>
    <col min="15104" max="15115" width="2.875" style="3"/>
    <col min="15116" max="15116" width="8.75" style="3" bestFit="1" customWidth="1"/>
    <col min="15117" max="15124" width="2.875" style="3"/>
    <col min="15125" max="15125" width="8.25" style="3" bestFit="1" customWidth="1"/>
    <col min="15126" max="15126" width="8.75" style="3" bestFit="1" customWidth="1"/>
    <col min="15127" max="15127" width="7.5" style="3" bestFit="1" customWidth="1"/>
    <col min="15128" max="15358" width="2.875" style="3"/>
    <col min="15359" max="15359" width="3.75" style="3" customWidth="1"/>
    <col min="15360" max="15371" width="2.875" style="3"/>
    <col min="15372" max="15372" width="8.75" style="3" bestFit="1" customWidth="1"/>
    <col min="15373" max="15380" width="2.875" style="3"/>
    <col min="15381" max="15381" width="8.25" style="3" bestFit="1" customWidth="1"/>
    <col min="15382" max="15382" width="8.75" style="3" bestFit="1" customWidth="1"/>
    <col min="15383" max="15383" width="7.5" style="3" bestFit="1" customWidth="1"/>
    <col min="15384" max="15614" width="2.875" style="3"/>
    <col min="15615" max="15615" width="3.75" style="3" customWidth="1"/>
    <col min="15616" max="15627" width="2.875" style="3"/>
    <col min="15628" max="15628" width="8.75" style="3" bestFit="1" customWidth="1"/>
    <col min="15629" max="15636" width="2.875" style="3"/>
    <col min="15637" max="15637" width="8.25" style="3" bestFit="1" customWidth="1"/>
    <col min="15638" max="15638" width="8.75" style="3" bestFit="1" customWidth="1"/>
    <col min="15639" max="15639" width="7.5" style="3" bestFit="1" customWidth="1"/>
    <col min="15640" max="15870" width="2.875" style="3"/>
    <col min="15871" max="15871" width="3.75" style="3" customWidth="1"/>
    <col min="15872" max="15883" width="2.875" style="3"/>
    <col min="15884" max="15884" width="8.75" style="3" bestFit="1" customWidth="1"/>
    <col min="15885" max="15892" width="2.875" style="3"/>
    <col min="15893" max="15893" width="8.25" style="3" bestFit="1" customWidth="1"/>
    <col min="15894" max="15894" width="8.75" style="3" bestFit="1" customWidth="1"/>
    <col min="15895" max="15895" width="7.5" style="3" bestFit="1" customWidth="1"/>
    <col min="15896" max="16126" width="2.875" style="3"/>
    <col min="16127" max="16127" width="3.75" style="3" customWidth="1"/>
    <col min="16128" max="16139" width="2.875" style="3"/>
    <col min="16140" max="16140" width="8.75" style="3" bestFit="1" customWidth="1"/>
    <col min="16141" max="16148" width="2.875" style="3"/>
    <col min="16149" max="16149" width="8.25" style="3" bestFit="1" customWidth="1"/>
    <col min="16150" max="16150" width="8.75" style="3" bestFit="1" customWidth="1"/>
    <col min="16151" max="16151" width="7.5" style="3" bestFit="1" customWidth="1"/>
    <col min="16152" max="16384" width="2.875" style="3"/>
  </cols>
  <sheetData>
    <row r="1" spans="1:84" ht="32.25" customHeight="1">
      <c r="A1" s="1" t="s">
        <v>0</v>
      </c>
      <c r="B1" s="1876" t="s">
        <v>405</v>
      </c>
      <c r="C1" s="1876"/>
      <c r="D1" s="1876"/>
      <c r="E1" s="1876"/>
      <c r="F1" s="1876"/>
      <c r="G1" s="1876"/>
      <c r="H1" s="1876"/>
      <c r="I1" s="1876"/>
      <c r="J1" s="1876"/>
      <c r="K1" s="1876"/>
      <c r="L1" s="1876"/>
      <c r="M1" s="1876"/>
      <c r="N1" s="1876"/>
      <c r="O1" s="1876"/>
      <c r="P1" s="1876"/>
      <c r="Q1" s="1876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X1" s="4"/>
    </row>
    <row r="2" spans="1:84" ht="17.2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 t="s">
        <v>2</v>
      </c>
      <c r="AE2" s="10" t="s">
        <v>3</v>
      </c>
      <c r="AX2" s="4"/>
    </row>
    <row r="3" spans="1:84" ht="17.25" customHeight="1">
      <c r="A3" s="6"/>
      <c r="B3" s="1104" t="s">
        <v>4</v>
      </c>
      <c r="C3" s="1455"/>
      <c r="D3" s="1455"/>
      <c r="E3" s="1455"/>
      <c r="F3" s="1455"/>
      <c r="G3" s="1455" t="s">
        <v>5</v>
      </c>
      <c r="H3" s="1455"/>
      <c r="I3" s="1455"/>
      <c r="J3" s="1455"/>
      <c r="K3" s="1455"/>
      <c r="L3" s="1455"/>
      <c r="M3" s="1455"/>
      <c r="N3" s="1455"/>
      <c r="O3" s="1599" t="s">
        <v>6</v>
      </c>
      <c r="P3" s="1599"/>
      <c r="Q3" s="1599"/>
      <c r="R3" s="1599"/>
      <c r="S3" s="1599" t="s">
        <v>7</v>
      </c>
      <c r="T3" s="1599"/>
      <c r="U3" s="1599"/>
      <c r="V3" s="1599"/>
      <c r="W3" s="1599"/>
      <c r="X3" s="1455" t="s">
        <v>8</v>
      </c>
      <c r="Y3" s="1455"/>
      <c r="Z3" s="1102"/>
      <c r="AA3" s="9"/>
      <c r="AB3" s="9"/>
      <c r="AC3" s="9"/>
      <c r="AD3" s="10" t="s">
        <v>9</v>
      </c>
      <c r="AE3" s="10" t="s">
        <v>10</v>
      </c>
      <c r="AF3" s="10"/>
      <c r="AX3" s="11"/>
      <c r="AY3" s="12"/>
      <c r="AZ3" s="13"/>
      <c r="BA3" s="13"/>
      <c r="BM3" s="14" t="s">
        <v>11</v>
      </c>
      <c r="BN3" s="13"/>
      <c r="BO3" s="13"/>
      <c r="BP3" s="13"/>
      <c r="BQ3" s="13"/>
      <c r="BR3" s="15"/>
      <c r="BS3" s="16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</row>
    <row r="4" spans="1:84" ht="17.25" customHeight="1">
      <c r="A4" s="6"/>
      <c r="B4" s="1456"/>
      <c r="C4" s="1457"/>
      <c r="D4" s="1457"/>
      <c r="E4" s="1457"/>
      <c r="F4" s="1457"/>
      <c r="G4" s="1600" t="s">
        <v>12</v>
      </c>
      <c r="H4" s="1600"/>
      <c r="I4" s="1600"/>
      <c r="J4" s="1600"/>
      <c r="K4" s="1600" t="s">
        <v>13</v>
      </c>
      <c r="L4" s="1600"/>
      <c r="M4" s="1600"/>
      <c r="N4" s="1600"/>
      <c r="O4" s="1600" t="s">
        <v>14</v>
      </c>
      <c r="P4" s="1600"/>
      <c r="Q4" s="1600"/>
      <c r="R4" s="1600"/>
      <c r="S4" s="1601" t="s">
        <v>15</v>
      </c>
      <c r="T4" s="1601"/>
      <c r="U4" s="1601"/>
      <c r="V4" s="1601"/>
      <c r="W4" s="1601"/>
      <c r="X4" s="1602" t="s">
        <v>16</v>
      </c>
      <c r="Y4" s="1602"/>
      <c r="Z4" s="1603"/>
      <c r="AA4" s="9"/>
      <c r="AB4" s="9"/>
      <c r="AC4" s="9"/>
      <c r="AD4" s="10" t="s">
        <v>17</v>
      </c>
      <c r="AE4" s="10" t="s">
        <v>18</v>
      </c>
      <c r="AX4" s="958" t="s">
        <v>19</v>
      </c>
      <c r="AY4" s="959"/>
      <c r="AZ4" s="960"/>
      <c r="BA4" s="1365" t="s">
        <v>20</v>
      </c>
      <c r="BB4" s="1366"/>
      <c r="BC4" s="18" t="s">
        <v>21</v>
      </c>
      <c r="BD4" s="928" t="s">
        <v>22</v>
      </c>
      <c r="BE4" s="18" t="s">
        <v>23</v>
      </c>
      <c r="BF4" s="1337" t="s">
        <v>24</v>
      </c>
      <c r="BG4" s="18" t="s">
        <v>23</v>
      </c>
      <c r="BH4" s="1337" t="s">
        <v>24</v>
      </c>
      <c r="BI4" s="11"/>
      <c r="BJ4" s="968" t="s">
        <v>25</v>
      </c>
      <c r="BK4" s="19"/>
      <c r="BL4" s="968" t="s">
        <v>26</v>
      </c>
      <c r="BM4" s="968"/>
      <c r="BN4" s="968" t="s">
        <v>27</v>
      </c>
      <c r="BO4" s="968"/>
      <c r="BP4" s="13"/>
      <c r="BQ4" s="20"/>
      <c r="BR4" s="20"/>
      <c r="BS4" s="20"/>
      <c r="BT4" s="20"/>
      <c r="BU4" s="20"/>
      <c r="BV4" s="21"/>
      <c r="BW4" s="21"/>
      <c r="BX4" s="21"/>
      <c r="BY4" s="21"/>
      <c r="BZ4" s="21"/>
      <c r="CA4" s="20"/>
      <c r="CB4" s="20"/>
      <c r="CC4" s="20"/>
      <c r="CD4" s="20"/>
      <c r="CE4" s="20"/>
    </row>
    <row r="5" spans="1:84" ht="30.75" customHeight="1" thickBot="1">
      <c r="A5" s="6"/>
      <c r="B5" s="1497" t="s">
        <v>408</v>
      </c>
      <c r="C5" s="1498"/>
      <c r="D5" s="1498"/>
      <c r="E5" s="1498"/>
      <c r="F5" s="1498"/>
      <c r="G5" s="1878">
        <v>8.4</v>
      </c>
      <c r="H5" s="1878"/>
      <c r="I5" s="1878"/>
      <c r="J5" s="1878"/>
      <c r="K5" s="1878">
        <v>8.8000000000000007</v>
      </c>
      <c r="L5" s="1878"/>
      <c r="M5" s="1878"/>
      <c r="N5" s="1878"/>
      <c r="O5" s="1878">
        <v>7.4</v>
      </c>
      <c r="P5" s="1878"/>
      <c r="Q5" s="1878"/>
      <c r="R5" s="1878"/>
      <c r="S5" s="1879">
        <v>150</v>
      </c>
      <c r="T5" s="1879"/>
      <c r="U5" s="1879"/>
      <c r="V5" s="1879"/>
      <c r="W5" s="1879"/>
      <c r="X5" s="1880">
        <v>6.3</v>
      </c>
      <c r="Y5" s="1880"/>
      <c r="Z5" s="1881"/>
      <c r="AA5" s="9"/>
      <c r="AB5" s="9"/>
      <c r="AC5" s="9"/>
      <c r="AD5" s="10" t="s">
        <v>28</v>
      </c>
      <c r="AE5" s="10" t="s">
        <v>29</v>
      </c>
      <c r="AF5" s="10"/>
      <c r="AG5" s="10"/>
      <c r="AH5" s="10"/>
      <c r="AX5" s="1645"/>
      <c r="AY5" s="1646"/>
      <c r="AZ5" s="1647"/>
      <c r="BA5" s="1648"/>
      <c r="BB5" s="1649"/>
      <c r="BC5" s="22" t="s">
        <v>30</v>
      </c>
      <c r="BD5" s="1650"/>
      <c r="BE5" s="22" t="s">
        <v>31</v>
      </c>
      <c r="BF5" s="1651"/>
      <c r="BG5" s="22" t="s">
        <v>32</v>
      </c>
      <c r="BH5" s="1651"/>
      <c r="BI5" s="11"/>
      <c r="BJ5" s="968"/>
      <c r="BK5" s="19"/>
      <c r="BL5" s="968"/>
      <c r="BM5" s="968"/>
      <c r="BN5" s="968"/>
      <c r="BO5" s="968"/>
      <c r="BP5" s="13"/>
      <c r="BQ5" s="20"/>
      <c r="BR5" s="20"/>
      <c r="BS5" s="20"/>
      <c r="BT5" s="20"/>
      <c r="BU5" s="20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spans="1:84" ht="17.25" customHeight="1" thickTop="1">
      <c r="A6" s="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 t="s">
        <v>33</v>
      </c>
      <c r="AE6" s="10" t="s">
        <v>34</v>
      </c>
      <c r="AX6" s="23">
        <v>0</v>
      </c>
      <c r="AY6" s="24" t="s">
        <v>35</v>
      </c>
      <c r="AZ6" s="25">
        <v>1</v>
      </c>
      <c r="BA6" s="865">
        <f t="shared" ref="BA6:BA10" si="0">AZ6-AX6</f>
        <v>1</v>
      </c>
      <c r="BB6" s="866"/>
      <c r="BC6" s="26">
        <f t="shared" ref="BC6:BC13" si="1">1200*(BN6+6)</f>
        <v>18000</v>
      </c>
      <c r="BD6" s="27">
        <f t="shared" ref="BD6:BD32" si="2">IF(BA6="","",(IF(BJ6&lt;0.5*$G$5,((BJ6/$G$5+0.125)/1.25),((BJ6/$G$5)-2)/(-3))))</f>
        <v>0.14761904761904762</v>
      </c>
      <c r="BE6" s="1693">
        <f t="shared" ref="BE6:BE32" si="3">IF(BD6&lt;0,0,+BD6*BA6/BC6)</f>
        <v>8.2010582010582018E-6</v>
      </c>
      <c r="BF6" s="1694"/>
      <c r="BG6" s="1877" t="s">
        <v>406</v>
      </c>
      <c r="BH6" s="1640"/>
      <c r="BI6" s="11"/>
      <c r="BJ6" s="28">
        <f>SUM(BA6)/2</f>
        <v>0.5</v>
      </c>
      <c r="BK6" s="29"/>
      <c r="BL6" s="871">
        <v>1</v>
      </c>
      <c r="BM6" s="871"/>
      <c r="BN6" s="1606">
        <v>9</v>
      </c>
      <c r="BO6" s="1607"/>
      <c r="BP6" s="13"/>
      <c r="BQ6" s="30" t="s">
        <v>36</v>
      </c>
      <c r="BR6" s="31" t="s">
        <v>37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3"/>
    </row>
    <row r="7" spans="1:84" ht="17.25" customHeight="1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 t="s">
        <v>38</v>
      </c>
      <c r="AE7" s="10" t="s">
        <v>39</v>
      </c>
      <c r="AF7" s="10"/>
      <c r="AG7" s="10"/>
      <c r="AH7" s="10"/>
      <c r="AI7" s="10"/>
      <c r="AJ7" s="10"/>
      <c r="AK7" s="10"/>
      <c r="AX7" s="34">
        <f>+AZ6</f>
        <v>1</v>
      </c>
      <c r="AY7" s="24" t="s">
        <v>35</v>
      </c>
      <c r="AZ7" s="35">
        <v>2</v>
      </c>
      <c r="BA7" s="865">
        <f t="shared" si="0"/>
        <v>1</v>
      </c>
      <c r="BB7" s="866"/>
      <c r="BC7" s="26">
        <f t="shared" si="1"/>
        <v>20400</v>
      </c>
      <c r="BD7" s="36">
        <f t="shared" si="2"/>
        <v>0.24285714285714288</v>
      </c>
      <c r="BE7" s="1677">
        <f t="shared" si="3"/>
        <v>1.1904761904761907E-5</v>
      </c>
      <c r="BF7" s="1678"/>
      <c r="BG7" s="1874" t="s">
        <v>406</v>
      </c>
      <c r="BH7" s="1433"/>
      <c r="BI7" s="11"/>
      <c r="BJ7" s="28">
        <f>SUM(BA6)+(BA7/2)</f>
        <v>1.5</v>
      </c>
      <c r="BK7" s="29"/>
      <c r="BL7" s="871">
        <v>2</v>
      </c>
      <c r="BM7" s="871"/>
      <c r="BN7" s="1606">
        <v>11</v>
      </c>
      <c r="BO7" s="1607"/>
      <c r="BP7" s="13"/>
      <c r="BQ7" s="1059" t="s">
        <v>40</v>
      </c>
      <c r="BR7" s="1060"/>
      <c r="BS7" s="1060"/>
      <c r="BT7" s="1060"/>
      <c r="BU7" s="1061"/>
      <c r="BV7" s="1690" t="s">
        <v>41</v>
      </c>
      <c r="BW7" s="1691"/>
      <c r="BX7" s="1691"/>
      <c r="BY7" s="1691"/>
      <c r="BZ7" s="1692"/>
      <c r="CA7" s="1059" t="s">
        <v>42</v>
      </c>
      <c r="CB7" s="1060"/>
      <c r="CC7" s="1060"/>
      <c r="CD7" s="1060"/>
      <c r="CE7" s="1061"/>
    </row>
    <row r="8" spans="1:84" ht="17.25" customHeight="1">
      <c r="A8" s="6"/>
      <c r="B8" s="7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 t="s">
        <v>44</v>
      </c>
      <c r="AE8" s="10" t="s">
        <v>45</v>
      </c>
      <c r="AF8" s="10"/>
      <c r="AX8" s="34">
        <f t="shared" ref="AX8:AX9" si="4">+AZ7</f>
        <v>2</v>
      </c>
      <c r="AY8" s="24" t="s">
        <v>35</v>
      </c>
      <c r="AZ8" s="35">
        <v>3</v>
      </c>
      <c r="BA8" s="865">
        <f t="shared" si="0"/>
        <v>1</v>
      </c>
      <c r="BB8" s="866"/>
      <c r="BC8" s="26">
        <f t="shared" si="1"/>
        <v>32400</v>
      </c>
      <c r="BD8" s="36">
        <f t="shared" si="2"/>
        <v>0.33809523809523812</v>
      </c>
      <c r="BE8" s="1677">
        <f t="shared" si="3"/>
        <v>1.0435038212815991E-5</v>
      </c>
      <c r="BF8" s="1678"/>
      <c r="BG8" s="1874" t="s">
        <v>406</v>
      </c>
      <c r="BH8" s="1433"/>
      <c r="BI8" s="11"/>
      <c r="BJ8" s="28">
        <f>SUM(BA$6:BA7)+(BA8/2)</f>
        <v>2.5</v>
      </c>
      <c r="BK8" s="29"/>
      <c r="BL8" s="871">
        <v>3</v>
      </c>
      <c r="BM8" s="871"/>
      <c r="BN8" s="1606">
        <v>21</v>
      </c>
      <c r="BO8" s="1607"/>
      <c r="BP8" s="13"/>
      <c r="BQ8" s="1149" t="s">
        <v>46</v>
      </c>
      <c r="BR8" s="1150"/>
      <c r="BS8" s="1150"/>
      <c r="BT8" s="1150"/>
      <c r="BU8" s="1151"/>
      <c r="BV8" s="1682" t="s">
        <v>47</v>
      </c>
      <c r="BW8" s="1683"/>
      <c r="BX8" s="1683"/>
      <c r="BY8" s="1683"/>
      <c r="BZ8" s="1684"/>
      <c r="CA8" s="1122"/>
      <c r="CB8" s="1123"/>
      <c r="CC8" s="1123"/>
      <c r="CD8" s="1123"/>
      <c r="CE8" s="1124"/>
    </row>
    <row r="9" spans="1:84" ht="20.25" customHeight="1">
      <c r="A9" s="6"/>
      <c r="B9" s="1142" t="s">
        <v>48</v>
      </c>
      <c r="C9" s="1142"/>
      <c r="D9" s="787" t="s">
        <v>49</v>
      </c>
      <c r="E9" s="787"/>
      <c r="F9" s="787"/>
      <c r="G9" s="787"/>
      <c r="H9" s="787" t="s">
        <v>50</v>
      </c>
      <c r="I9" s="787"/>
      <c r="J9" s="787"/>
      <c r="K9" s="1142" t="s">
        <v>51</v>
      </c>
      <c r="L9" s="1142"/>
      <c r="M9" s="1142"/>
      <c r="N9" s="1142" t="s">
        <v>52</v>
      </c>
      <c r="O9" s="1142"/>
      <c r="P9" s="1871" t="s">
        <v>53</v>
      </c>
      <c r="Q9" s="1871"/>
      <c r="R9" s="1873" t="s">
        <v>54</v>
      </c>
      <c r="S9" s="1873"/>
      <c r="T9" s="1873"/>
      <c r="U9" s="1873" t="s">
        <v>55</v>
      </c>
      <c r="V9" s="1873"/>
      <c r="W9" s="1873"/>
      <c r="X9" s="1094" t="s">
        <v>56</v>
      </c>
      <c r="Y9" s="1094"/>
      <c r="Z9" s="1094"/>
      <c r="AA9" s="9"/>
      <c r="AH9" s="1291" t="s">
        <v>57</v>
      </c>
      <c r="AI9" s="1291"/>
      <c r="AJ9" s="1291"/>
      <c r="AK9" s="787" t="s">
        <v>58</v>
      </c>
      <c r="AL9" s="787"/>
      <c r="AM9" s="787"/>
      <c r="AV9" s="37"/>
      <c r="AW9" s="5"/>
      <c r="AX9" s="34">
        <f t="shared" si="4"/>
        <v>3</v>
      </c>
      <c r="AY9" s="24" t="s">
        <v>35</v>
      </c>
      <c r="AZ9" s="35">
        <v>4</v>
      </c>
      <c r="BA9" s="865">
        <f t="shared" si="0"/>
        <v>1</v>
      </c>
      <c r="BB9" s="866"/>
      <c r="BC9" s="26">
        <f t="shared" si="1"/>
        <v>21600</v>
      </c>
      <c r="BD9" s="36">
        <f t="shared" si="2"/>
        <v>0.43333333333333329</v>
      </c>
      <c r="BE9" s="1677">
        <f t="shared" si="3"/>
        <v>2.0061728395061728E-5</v>
      </c>
      <c r="BF9" s="1678"/>
      <c r="BG9" s="1857" t="s">
        <v>406</v>
      </c>
      <c r="BH9" s="1680"/>
      <c r="BI9" s="11"/>
      <c r="BJ9" s="28">
        <f>SUM(BA$6:BA8)+(BA9/2)</f>
        <v>3.5</v>
      </c>
      <c r="BK9" s="29"/>
      <c r="BL9" s="871">
        <v>4</v>
      </c>
      <c r="BM9" s="871"/>
      <c r="BN9" s="1606">
        <v>12</v>
      </c>
      <c r="BO9" s="1607"/>
      <c r="BP9" s="13"/>
      <c r="BQ9" s="1152"/>
      <c r="BR9" s="1153"/>
      <c r="BS9" s="1153"/>
      <c r="BT9" s="1153"/>
      <c r="BU9" s="1154"/>
      <c r="BV9" s="1688" t="s">
        <v>59</v>
      </c>
      <c r="BW9" s="1203"/>
      <c r="BX9" s="1203"/>
      <c r="BY9" s="1203"/>
      <c r="BZ9" s="1689"/>
      <c r="CA9" s="1062" t="s">
        <v>60</v>
      </c>
      <c r="CB9" s="1063"/>
      <c r="CC9" s="1063"/>
      <c r="CD9" s="1063"/>
      <c r="CE9" s="1064"/>
    </row>
    <row r="10" spans="1:84" ht="20.25" customHeight="1">
      <c r="A10" s="6"/>
      <c r="B10" s="1144"/>
      <c r="C10" s="1144"/>
      <c r="D10" s="1145"/>
      <c r="E10" s="1145"/>
      <c r="F10" s="1145"/>
      <c r="G10" s="1145"/>
      <c r="H10" s="1145" t="s">
        <v>14</v>
      </c>
      <c r="I10" s="1145"/>
      <c r="J10" s="1145"/>
      <c r="K10" s="1872" t="s">
        <v>15</v>
      </c>
      <c r="L10" s="1872"/>
      <c r="M10" s="1872"/>
      <c r="N10" s="1872" t="s">
        <v>15</v>
      </c>
      <c r="O10" s="1872"/>
      <c r="P10" s="1872"/>
      <c r="Q10" s="1872"/>
      <c r="R10" s="1872" t="s">
        <v>61</v>
      </c>
      <c r="S10" s="1872"/>
      <c r="T10" s="1872"/>
      <c r="U10" s="1875" t="s">
        <v>15</v>
      </c>
      <c r="V10" s="1875"/>
      <c r="W10" s="1875"/>
      <c r="X10" s="1096"/>
      <c r="Y10" s="1096"/>
      <c r="Z10" s="1096"/>
      <c r="AA10" s="9"/>
      <c r="AH10" s="1293"/>
      <c r="AI10" s="1293"/>
      <c r="AJ10" s="1293"/>
      <c r="AK10" s="1145"/>
      <c r="AL10" s="1145"/>
      <c r="AM10" s="1145"/>
      <c r="AV10" s="39"/>
      <c r="AW10" s="5"/>
      <c r="AX10" s="34">
        <f>+AZ9</f>
        <v>4</v>
      </c>
      <c r="AY10" s="24" t="s">
        <v>35</v>
      </c>
      <c r="AZ10" s="35">
        <v>5</v>
      </c>
      <c r="BA10" s="865">
        <f t="shared" si="0"/>
        <v>1</v>
      </c>
      <c r="BB10" s="866"/>
      <c r="BC10" s="26">
        <f t="shared" si="1"/>
        <v>25200</v>
      </c>
      <c r="BD10" s="36">
        <f t="shared" si="2"/>
        <v>0.48809523809523814</v>
      </c>
      <c r="BE10" s="1677">
        <f t="shared" si="3"/>
        <v>1.9368858654572942E-5</v>
      </c>
      <c r="BF10" s="1678"/>
      <c r="BG10" s="1857" t="s">
        <v>406</v>
      </c>
      <c r="BH10" s="1680"/>
      <c r="BI10" s="11"/>
      <c r="BJ10" s="28">
        <f>SUM(BA$6:BA9)+(BA10/2)</f>
        <v>4.5</v>
      </c>
      <c r="BK10" s="29"/>
      <c r="BL10" s="871">
        <v>5</v>
      </c>
      <c r="BM10" s="871"/>
      <c r="BN10" s="1606">
        <v>15</v>
      </c>
      <c r="BO10" s="1607"/>
      <c r="BP10" s="13"/>
      <c r="BQ10" s="1152"/>
      <c r="BR10" s="1153"/>
      <c r="BS10" s="1153"/>
      <c r="BT10" s="1153"/>
      <c r="BU10" s="1154"/>
      <c r="BV10" s="1062" t="s">
        <v>62</v>
      </c>
      <c r="BW10" s="1063"/>
      <c r="BX10" s="1063"/>
      <c r="BY10" s="1063"/>
      <c r="BZ10" s="1064"/>
      <c r="CA10" s="1062" t="s">
        <v>63</v>
      </c>
      <c r="CB10" s="1063"/>
      <c r="CC10" s="1063"/>
      <c r="CD10" s="1063"/>
      <c r="CE10" s="1064"/>
    </row>
    <row r="11" spans="1:84" ht="23.25" customHeight="1">
      <c r="A11" s="6"/>
      <c r="B11" s="1866" t="s">
        <v>406</v>
      </c>
      <c r="C11" s="1866"/>
      <c r="D11" s="1870">
        <v>0</v>
      </c>
      <c r="E11" s="1870"/>
      <c r="F11" s="1868">
        <v>0</v>
      </c>
      <c r="G11" s="1868"/>
      <c r="H11" s="1869">
        <f>F11-D11</f>
        <v>0</v>
      </c>
      <c r="I11" s="1869"/>
      <c r="J11" s="1869"/>
      <c r="K11" s="1866">
        <v>18</v>
      </c>
      <c r="L11" s="1866"/>
      <c r="M11" s="1866"/>
      <c r="N11" s="1866">
        <v>3</v>
      </c>
      <c r="O11" s="1866"/>
      <c r="P11" s="1865">
        <f>+N11*H11</f>
        <v>0</v>
      </c>
      <c r="Q11" s="1865"/>
      <c r="R11" s="1868">
        <v>23</v>
      </c>
      <c r="S11" s="1868"/>
      <c r="T11" s="1868"/>
      <c r="U11" s="1863">
        <f>+BC6</f>
        <v>18000</v>
      </c>
      <c r="V11" s="1863"/>
      <c r="W11" s="1863"/>
      <c r="X11" s="1864" t="s">
        <v>394</v>
      </c>
      <c r="Y11" s="1864"/>
      <c r="Z11" s="1864"/>
      <c r="AA11" s="9"/>
      <c r="AH11" s="1865">
        <f>+ROUND(RADIANS(R11),4)</f>
        <v>0.40139999999999998</v>
      </c>
      <c r="AI11" s="1865"/>
      <c r="AJ11" s="1865"/>
      <c r="AK11" s="1865">
        <f>+ROUND(TAN(AH11)*H11,4)</f>
        <v>0</v>
      </c>
      <c r="AL11" s="1865"/>
      <c r="AM11" s="1865"/>
      <c r="AV11" s="39"/>
      <c r="AW11" s="5"/>
      <c r="AX11" s="34">
        <f>+AZ10</f>
        <v>5</v>
      </c>
      <c r="AY11" s="24" t="s">
        <v>35</v>
      </c>
      <c r="AZ11" s="35">
        <v>6</v>
      </c>
      <c r="BA11" s="865">
        <f>AZ11-AX11</f>
        <v>1</v>
      </c>
      <c r="BB11" s="866"/>
      <c r="BC11" s="26">
        <f t="shared" si="1"/>
        <v>15600</v>
      </c>
      <c r="BD11" s="36">
        <f t="shared" si="2"/>
        <v>0.44841269841269843</v>
      </c>
      <c r="BE11" s="1677">
        <f t="shared" si="3"/>
        <v>2.8744403744403746E-5</v>
      </c>
      <c r="BF11" s="1678"/>
      <c r="BG11" s="1857" t="s">
        <v>406</v>
      </c>
      <c r="BH11" s="1680"/>
      <c r="BI11" s="11"/>
      <c r="BJ11" s="28">
        <f>SUM(BA$6:BA10)+(BA11/2)</f>
        <v>5.5</v>
      </c>
      <c r="BK11" s="29"/>
      <c r="BL11" s="871">
        <v>6</v>
      </c>
      <c r="BM11" s="871"/>
      <c r="BN11" s="1606">
        <v>7</v>
      </c>
      <c r="BO11" s="1607"/>
      <c r="BP11" s="40"/>
      <c r="BQ11" s="1155"/>
      <c r="BR11" s="1156"/>
      <c r="BS11" s="1156"/>
      <c r="BT11" s="1156"/>
      <c r="BU11" s="1157"/>
      <c r="BV11" s="1199" t="s">
        <v>64</v>
      </c>
      <c r="BW11" s="1200"/>
      <c r="BX11" s="1200"/>
      <c r="BY11" s="1200"/>
      <c r="BZ11" s="1201"/>
      <c r="CA11" s="1119"/>
      <c r="CB11" s="1120"/>
      <c r="CC11" s="1120"/>
      <c r="CD11" s="1120"/>
      <c r="CE11" s="1121"/>
    </row>
    <row r="12" spans="1:84" ht="23.25" customHeight="1">
      <c r="A12" s="6"/>
      <c r="B12" s="1866" t="s">
        <v>407</v>
      </c>
      <c r="C12" s="1866"/>
      <c r="D12" s="1867">
        <v>7.4</v>
      </c>
      <c r="E12" s="1867"/>
      <c r="F12" s="1868">
        <v>8</v>
      </c>
      <c r="G12" s="1868"/>
      <c r="H12" s="1869">
        <f>F12-D12</f>
        <v>0.59999999999999964</v>
      </c>
      <c r="I12" s="1869"/>
      <c r="J12" s="1869"/>
      <c r="K12" s="1866">
        <v>18</v>
      </c>
      <c r="L12" s="1866"/>
      <c r="M12" s="1866"/>
      <c r="N12" s="1866">
        <v>3</v>
      </c>
      <c r="O12" s="1866"/>
      <c r="P12" s="1865">
        <f>+N12*H12</f>
        <v>1.7999999999999989</v>
      </c>
      <c r="Q12" s="1865"/>
      <c r="R12" s="1868">
        <v>23</v>
      </c>
      <c r="S12" s="1868"/>
      <c r="T12" s="1868"/>
      <c r="U12" s="1863">
        <f>+BC13</f>
        <v>30000</v>
      </c>
      <c r="V12" s="1863"/>
      <c r="W12" s="1863"/>
      <c r="X12" s="1864" t="s">
        <v>394</v>
      </c>
      <c r="Y12" s="1864"/>
      <c r="Z12" s="1864"/>
      <c r="AA12" s="9"/>
      <c r="AH12" s="1865">
        <f>+ROUND(RADIANS(R12),4)</f>
        <v>0.40139999999999998</v>
      </c>
      <c r="AI12" s="1865"/>
      <c r="AJ12" s="1865"/>
      <c r="AK12" s="1865">
        <f>+ROUND(TAN(AH12)*H12,5)</f>
        <v>0.25467000000000001</v>
      </c>
      <c r="AL12" s="1865"/>
      <c r="AM12" s="1865"/>
      <c r="AV12" s="39"/>
      <c r="AW12" s="5"/>
      <c r="AX12" s="41">
        <f>AZ11</f>
        <v>6</v>
      </c>
      <c r="AY12" s="24" t="s">
        <v>35</v>
      </c>
      <c r="AZ12" s="35">
        <v>7</v>
      </c>
      <c r="BA12" s="865">
        <f>AZ12-AX12</f>
        <v>1</v>
      </c>
      <c r="BB12" s="866"/>
      <c r="BC12" s="26">
        <f t="shared" si="1"/>
        <v>21600</v>
      </c>
      <c r="BD12" s="36">
        <f t="shared" si="2"/>
        <v>0.40873015873015878</v>
      </c>
      <c r="BE12" s="1677">
        <f t="shared" si="3"/>
        <v>1.8922692533803645E-5</v>
      </c>
      <c r="BF12" s="1678"/>
      <c r="BG12" s="1857" t="s">
        <v>407</v>
      </c>
      <c r="BH12" s="1680"/>
      <c r="BI12" s="11"/>
      <c r="BJ12" s="28">
        <f>SUM(BA$6:BA11)+(BA12/2)</f>
        <v>6.5</v>
      </c>
      <c r="BK12" s="29"/>
      <c r="BL12" s="871">
        <v>7</v>
      </c>
      <c r="BM12" s="871"/>
      <c r="BN12" s="1606">
        <v>12</v>
      </c>
      <c r="BO12" s="1607"/>
      <c r="BP12" s="40"/>
      <c r="BQ12" s="1059" t="s">
        <v>65</v>
      </c>
      <c r="BR12" s="1060"/>
      <c r="BS12" s="1060"/>
      <c r="BT12" s="1060"/>
      <c r="BU12" s="1061"/>
      <c r="BV12" s="1085" t="s">
        <v>66</v>
      </c>
      <c r="BW12" s="1086"/>
      <c r="BX12" s="1086"/>
      <c r="BY12" s="1086"/>
      <c r="BZ12" s="1087"/>
      <c r="CA12" s="1085" t="s">
        <v>67</v>
      </c>
      <c r="CB12" s="1086"/>
      <c r="CC12" s="1086"/>
      <c r="CD12" s="1086"/>
      <c r="CE12" s="1087"/>
    </row>
    <row r="13" spans="1:84" ht="23.25" customHeight="1">
      <c r="A13" s="6"/>
      <c r="B13" s="1866" t="s">
        <v>71</v>
      </c>
      <c r="C13" s="1866"/>
      <c r="D13" s="1867">
        <f>+F12</f>
        <v>8</v>
      </c>
      <c r="E13" s="1867"/>
      <c r="F13" s="1868">
        <v>20</v>
      </c>
      <c r="G13" s="1868"/>
      <c r="H13" s="1869">
        <f>F13-D13</f>
        <v>12</v>
      </c>
      <c r="I13" s="1869"/>
      <c r="J13" s="1869"/>
      <c r="K13" s="1866">
        <v>19</v>
      </c>
      <c r="L13" s="1866"/>
      <c r="M13" s="1866"/>
      <c r="N13" s="1866">
        <v>5</v>
      </c>
      <c r="O13" s="1866"/>
      <c r="P13" s="1865">
        <f>+N13*H13</f>
        <v>60</v>
      </c>
      <c r="Q13" s="1865"/>
      <c r="R13" s="1868">
        <v>25</v>
      </c>
      <c r="S13" s="1868"/>
      <c r="T13" s="1868"/>
      <c r="U13" s="1863">
        <f>+BC16</f>
        <v>27000</v>
      </c>
      <c r="V13" s="1863"/>
      <c r="W13" s="1863"/>
      <c r="X13" s="1864" t="s">
        <v>394</v>
      </c>
      <c r="Y13" s="1864"/>
      <c r="Z13" s="1864"/>
      <c r="AA13" s="9"/>
      <c r="AH13" s="1865">
        <f>+ROUND(RADIANS(R13),4)</f>
        <v>0.43630000000000002</v>
      </c>
      <c r="AI13" s="1865"/>
      <c r="AJ13" s="1865"/>
      <c r="AK13" s="1865">
        <f>+ROUND(TAN(AH13)*H13,5)</f>
        <v>5.5952200000000003</v>
      </c>
      <c r="AL13" s="1865"/>
      <c r="AM13" s="1865"/>
      <c r="AV13" s="42"/>
      <c r="AW13" s="5"/>
      <c r="AX13" s="41">
        <f>AZ12</f>
        <v>7</v>
      </c>
      <c r="AY13" s="24" t="s">
        <v>35</v>
      </c>
      <c r="AZ13" s="35">
        <v>8</v>
      </c>
      <c r="BA13" s="865">
        <f>AZ13-AX13</f>
        <v>1</v>
      </c>
      <c r="BB13" s="866"/>
      <c r="BC13" s="26">
        <f t="shared" si="1"/>
        <v>30000</v>
      </c>
      <c r="BD13" s="36">
        <f t="shared" si="2"/>
        <v>0.36904761904761907</v>
      </c>
      <c r="BE13" s="1677">
        <f t="shared" si="3"/>
        <v>1.2301587301587303E-5</v>
      </c>
      <c r="BF13" s="1678"/>
      <c r="BG13" s="1857" t="s">
        <v>407</v>
      </c>
      <c r="BH13" s="1680"/>
      <c r="BI13" s="11"/>
      <c r="BJ13" s="28">
        <f>SUM(BA$6:BA12)+(BA13/2)</f>
        <v>7.5</v>
      </c>
      <c r="BK13" s="29"/>
      <c r="BL13" s="871">
        <v>8</v>
      </c>
      <c r="BM13" s="871"/>
      <c r="BN13" s="1606">
        <v>19</v>
      </c>
      <c r="BO13" s="1607"/>
      <c r="BP13" s="40"/>
      <c r="BQ13" s="1059" t="s">
        <v>68</v>
      </c>
      <c r="BR13" s="1060"/>
      <c r="BS13" s="1060"/>
      <c r="BT13" s="1060"/>
      <c r="BU13" s="1061"/>
      <c r="BV13" s="1085" t="s">
        <v>69</v>
      </c>
      <c r="BW13" s="1086"/>
      <c r="BX13" s="1086"/>
      <c r="BY13" s="1086"/>
      <c r="BZ13" s="1087"/>
      <c r="CA13" s="1085" t="s">
        <v>70</v>
      </c>
      <c r="CB13" s="1086"/>
      <c r="CC13" s="1086"/>
      <c r="CD13" s="1086"/>
      <c r="CE13" s="1087"/>
    </row>
    <row r="14" spans="1:84" ht="23.25" customHeight="1">
      <c r="A14" s="6"/>
      <c r="B14" s="1866" t="s">
        <v>74</v>
      </c>
      <c r="C14" s="1866"/>
      <c r="D14" s="1867">
        <f>F13</f>
        <v>20</v>
      </c>
      <c r="E14" s="1867"/>
      <c r="F14" s="1868">
        <v>22</v>
      </c>
      <c r="G14" s="1868"/>
      <c r="H14" s="1869">
        <f>F14-D14</f>
        <v>2</v>
      </c>
      <c r="I14" s="1869"/>
      <c r="J14" s="1869"/>
      <c r="K14" s="1866">
        <v>20</v>
      </c>
      <c r="L14" s="1866"/>
      <c r="M14" s="1866"/>
      <c r="N14" s="1866">
        <v>10</v>
      </c>
      <c r="O14" s="1866"/>
      <c r="P14" s="1865">
        <f>+N14*H14</f>
        <v>20</v>
      </c>
      <c r="Q14" s="1865"/>
      <c r="R14" s="1868">
        <v>27</v>
      </c>
      <c r="S14" s="1868"/>
      <c r="T14" s="1868"/>
      <c r="U14" s="1863">
        <f>+BC26</f>
        <v>264000</v>
      </c>
      <c r="V14" s="1863"/>
      <c r="W14" s="1863"/>
      <c r="X14" s="1864"/>
      <c r="Y14" s="1864"/>
      <c r="Z14" s="1864"/>
      <c r="AA14" s="9"/>
      <c r="AH14" s="1865">
        <f>+ROUND(RADIANS(R14),4)</f>
        <v>0.47120000000000001</v>
      </c>
      <c r="AI14" s="1865"/>
      <c r="AJ14" s="1865"/>
      <c r="AK14" s="1865">
        <f>+ROUND(TAN(AH14)*H14,5)</f>
        <v>1.01895</v>
      </c>
      <c r="AL14" s="1865"/>
      <c r="AM14" s="1865"/>
      <c r="AV14" s="42"/>
      <c r="AW14" s="5"/>
      <c r="AX14" s="41">
        <f>AZ13</f>
        <v>8</v>
      </c>
      <c r="AY14" s="24" t="s">
        <v>35</v>
      </c>
      <c r="AZ14" s="35">
        <v>9</v>
      </c>
      <c r="BA14" s="865">
        <f>AZ14-AX14</f>
        <v>1</v>
      </c>
      <c r="BB14" s="866"/>
      <c r="BC14" s="26">
        <f t="shared" ref="BC14" si="5">300*(BN14+6)</f>
        <v>9900</v>
      </c>
      <c r="BD14" s="36">
        <f t="shared" si="2"/>
        <v>0.32936507936507936</v>
      </c>
      <c r="BE14" s="1677">
        <f t="shared" si="3"/>
        <v>3.3269199935866599E-5</v>
      </c>
      <c r="BF14" s="1678"/>
      <c r="BG14" s="1857" t="s">
        <v>71</v>
      </c>
      <c r="BH14" s="1680"/>
      <c r="BI14" s="11"/>
      <c r="BJ14" s="28">
        <f>SUM(BA$6:BA13)+(BA14/2)</f>
        <v>8.5</v>
      </c>
      <c r="BK14" s="29"/>
      <c r="BL14" s="871">
        <v>9</v>
      </c>
      <c r="BM14" s="871"/>
      <c r="BN14" s="1606">
        <v>27</v>
      </c>
      <c r="BO14" s="1607"/>
      <c r="BP14" s="40"/>
      <c r="BQ14" s="1059" t="s">
        <v>72</v>
      </c>
      <c r="BR14" s="1060"/>
      <c r="BS14" s="1060"/>
      <c r="BT14" s="1060"/>
      <c r="BU14" s="1061"/>
      <c r="BV14" s="1685" t="s">
        <v>73</v>
      </c>
      <c r="BW14" s="1686"/>
      <c r="BX14" s="1686"/>
      <c r="BY14" s="1686"/>
      <c r="BZ14" s="1687"/>
      <c r="CA14" s="1085"/>
      <c r="CB14" s="1086"/>
      <c r="CC14" s="1086"/>
      <c r="CD14" s="1086"/>
      <c r="CE14" s="1087"/>
    </row>
    <row r="15" spans="1:84" ht="23.25" customHeight="1">
      <c r="A15" s="6"/>
      <c r="B15" s="1866"/>
      <c r="C15" s="1866"/>
      <c r="D15" s="1867"/>
      <c r="E15" s="1867"/>
      <c r="F15" s="1868"/>
      <c r="G15" s="1868"/>
      <c r="H15" s="1869">
        <f>F15-D15</f>
        <v>0</v>
      </c>
      <c r="I15" s="1869"/>
      <c r="J15" s="1869"/>
      <c r="K15" s="1866"/>
      <c r="L15" s="1866"/>
      <c r="M15" s="1866"/>
      <c r="N15" s="1866"/>
      <c r="O15" s="1866"/>
      <c r="P15" s="1865"/>
      <c r="Q15" s="1865"/>
      <c r="R15" s="1868"/>
      <c r="S15" s="1868"/>
      <c r="T15" s="1868"/>
      <c r="U15" s="1863"/>
      <c r="V15" s="1863"/>
      <c r="W15" s="1863"/>
      <c r="X15" s="1864"/>
      <c r="Y15" s="1864"/>
      <c r="Z15" s="1864"/>
      <c r="AA15" s="9"/>
      <c r="AH15" s="1865">
        <f>+ROUND(RADIANS(R15),4)</f>
        <v>0</v>
      </c>
      <c r="AI15" s="1865"/>
      <c r="AJ15" s="1865"/>
      <c r="AK15" s="1865">
        <f>+ROUND(TAN(AH15)*H15,5)</f>
        <v>0</v>
      </c>
      <c r="AL15" s="1865"/>
      <c r="AM15" s="1865"/>
      <c r="AV15" s="42"/>
      <c r="AW15" s="5"/>
      <c r="AX15" s="41">
        <f>AZ14</f>
        <v>9</v>
      </c>
      <c r="AY15" s="24" t="s">
        <v>35</v>
      </c>
      <c r="AZ15" s="35">
        <v>10</v>
      </c>
      <c r="BA15" s="865">
        <f>AZ15-AX15</f>
        <v>1</v>
      </c>
      <c r="BB15" s="866"/>
      <c r="BC15" s="26">
        <f>500*(BN15+15)</f>
        <v>25000</v>
      </c>
      <c r="BD15" s="36">
        <f t="shared" si="2"/>
        <v>0.28968253968253971</v>
      </c>
      <c r="BE15" s="1677">
        <f t="shared" si="3"/>
        <v>1.1587301587301588E-5</v>
      </c>
      <c r="BF15" s="1678"/>
      <c r="BG15" s="1857" t="s">
        <v>71</v>
      </c>
      <c r="BH15" s="1680"/>
      <c r="BI15" s="11"/>
      <c r="BJ15" s="28">
        <f>SUM(BA$6:BA14)+(BA15/2)</f>
        <v>9.5</v>
      </c>
      <c r="BK15" s="29"/>
      <c r="BL15" s="871">
        <v>10</v>
      </c>
      <c r="BM15" s="871"/>
      <c r="BN15" s="1606">
        <v>35</v>
      </c>
      <c r="BO15" s="1607"/>
      <c r="BP15" s="40"/>
      <c r="BQ15" s="1059" t="s">
        <v>75</v>
      </c>
      <c r="BR15" s="1060"/>
      <c r="BS15" s="1060"/>
      <c r="BT15" s="1060"/>
      <c r="BU15" s="1061"/>
      <c r="BV15" s="1074"/>
      <c r="BW15" s="1075"/>
      <c r="BX15" s="1075"/>
      <c r="BY15" s="1075"/>
      <c r="BZ15" s="1076"/>
      <c r="CA15" s="1085" t="s">
        <v>76</v>
      </c>
      <c r="CB15" s="1086"/>
      <c r="CC15" s="1086"/>
      <c r="CD15" s="1086"/>
      <c r="CE15" s="1087"/>
    </row>
    <row r="16" spans="1:84" ht="23.25" customHeight="1">
      <c r="A16" s="6"/>
      <c r="B16" s="858" t="s">
        <v>77</v>
      </c>
      <c r="C16" s="858"/>
      <c r="D16" s="858"/>
      <c r="E16" s="858"/>
      <c r="F16" s="858"/>
      <c r="G16" s="858"/>
      <c r="H16" s="1184">
        <f>SUM(H11:J15)</f>
        <v>14.6</v>
      </c>
      <c r="I16" s="1184"/>
      <c r="J16" s="1184"/>
      <c r="K16" s="1185"/>
      <c r="L16" s="1185"/>
      <c r="M16" s="1185"/>
      <c r="N16" s="1186"/>
      <c r="O16" s="1186"/>
      <c r="P16" s="1187">
        <f>SUM(P11:Q15)</f>
        <v>81.8</v>
      </c>
      <c r="Q16" s="1187"/>
      <c r="R16" s="1862"/>
      <c r="S16" s="1862"/>
      <c r="T16" s="1862"/>
      <c r="U16" s="955"/>
      <c r="V16" s="955"/>
      <c r="W16" s="955"/>
      <c r="X16" s="955"/>
      <c r="Y16" s="955"/>
      <c r="Z16" s="955"/>
      <c r="AA16" s="43"/>
      <c r="AD16" s="145" t="s">
        <v>403</v>
      </c>
      <c r="AH16" s="1860"/>
      <c r="AI16" s="1860"/>
      <c r="AJ16" s="1860"/>
      <c r="AK16" s="1861">
        <f>SUM(AK11:AK15)</f>
        <v>6.8688400000000005</v>
      </c>
      <c r="AL16" s="1861"/>
      <c r="AM16" s="1861"/>
      <c r="AV16" s="5"/>
      <c r="AW16" s="5"/>
      <c r="AX16" s="41">
        <f t="shared" ref="AX16:AX31" si="6">AZ15</f>
        <v>10</v>
      </c>
      <c r="AY16" s="24" t="s">
        <v>35</v>
      </c>
      <c r="AZ16" s="35">
        <v>11</v>
      </c>
      <c r="BA16" s="865">
        <f t="shared" ref="BA16:BA32" si="7">AZ16-AX16</f>
        <v>1</v>
      </c>
      <c r="BB16" s="866"/>
      <c r="BC16" s="26">
        <f t="shared" ref="BC16:BC25" si="8">500*(BN16+15)</f>
        <v>27000</v>
      </c>
      <c r="BD16" s="36">
        <f t="shared" si="2"/>
        <v>0.25</v>
      </c>
      <c r="BE16" s="1677">
        <f t="shared" si="3"/>
        <v>9.2592592592592591E-6</v>
      </c>
      <c r="BF16" s="1678"/>
      <c r="BG16" s="1857" t="s">
        <v>71</v>
      </c>
      <c r="BH16" s="1680"/>
      <c r="BI16" s="11"/>
      <c r="BJ16" s="28">
        <f>SUM(BA$6:BA15)+(BA16/2)</f>
        <v>10.5</v>
      </c>
      <c r="BK16" s="44"/>
      <c r="BL16" s="871">
        <v>11</v>
      </c>
      <c r="BM16" s="871"/>
      <c r="BN16" s="1606">
        <v>39</v>
      </c>
      <c r="BO16" s="1607"/>
      <c r="BP16" s="45"/>
      <c r="BQ16" s="1149" t="s">
        <v>78</v>
      </c>
      <c r="BR16" s="1150"/>
      <c r="BS16" s="1150"/>
      <c r="BT16" s="1150"/>
      <c r="BU16" s="1151"/>
      <c r="BV16" s="1122" t="s">
        <v>79</v>
      </c>
      <c r="BW16" s="1123"/>
      <c r="BX16" s="1123"/>
      <c r="BY16" s="1123"/>
      <c r="BZ16" s="1124"/>
      <c r="CA16" s="1682" t="s">
        <v>80</v>
      </c>
      <c r="CB16" s="1683"/>
      <c r="CC16" s="1683"/>
      <c r="CD16" s="1683"/>
      <c r="CE16" s="1684"/>
    </row>
    <row r="17" spans="1:83" ht="18" customHeight="1">
      <c r="A17" s="6"/>
      <c r="B17" s="46"/>
      <c r="C17" s="46"/>
      <c r="D17" s="47"/>
      <c r="E17" s="47"/>
      <c r="F17" s="46"/>
      <c r="G17" s="47"/>
      <c r="H17" s="47"/>
      <c r="I17" s="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50"/>
      <c r="Z17" s="50"/>
      <c r="AA17" s="51"/>
      <c r="AB17" s="9"/>
      <c r="AC17" s="2"/>
      <c r="AD17" s="145" t="s">
        <v>404</v>
      </c>
      <c r="AH17" s="1860" t="s">
        <v>81</v>
      </c>
      <c r="AI17" s="1860"/>
      <c r="AJ17" s="1860"/>
      <c r="AK17" s="1861">
        <f>+AK16/H16</f>
        <v>0.47046849315068495</v>
      </c>
      <c r="AL17" s="1861"/>
      <c r="AM17" s="1861"/>
      <c r="AV17" s="5"/>
      <c r="AW17" s="5"/>
      <c r="AX17" s="41">
        <f t="shared" si="6"/>
        <v>11</v>
      </c>
      <c r="AY17" s="24" t="s">
        <v>35</v>
      </c>
      <c r="AZ17" s="35">
        <v>12</v>
      </c>
      <c r="BA17" s="865">
        <f t="shared" si="7"/>
        <v>1</v>
      </c>
      <c r="BB17" s="866"/>
      <c r="BC17" s="26">
        <f t="shared" si="8"/>
        <v>30500</v>
      </c>
      <c r="BD17" s="36">
        <f t="shared" si="2"/>
        <v>0.21031746031746032</v>
      </c>
      <c r="BE17" s="1677">
        <f t="shared" si="3"/>
        <v>6.895654436638043E-6</v>
      </c>
      <c r="BF17" s="1678"/>
      <c r="BG17" s="1857" t="s">
        <v>71</v>
      </c>
      <c r="BH17" s="1680"/>
      <c r="BI17" s="11"/>
      <c r="BJ17" s="28">
        <f>SUM(BA$6:BA16)+(BA17/2)</f>
        <v>11.5</v>
      </c>
      <c r="BK17" s="52"/>
      <c r="BL17" s="871">
        <v>12</v>
      </c>
      <c r="BM17" s="871"/>
      <c r="BN17" s="1606">
        <v>46</v>
      </c>
      <c r="BO17" s="1607"/>
      <c r="BP17" s="40"/>
      <c r="BQ17" s="1155"/>
      <c r="BR17" s="1156"/>
      <c r="BS17" s="1156"/>
      <c r="BT17" s="1156"/>
      <c r="BU17" s="1157"/>
      <c r="BV17" s="1192" t="s">
        <v>82</v>
      </c>
      <c r="BW17" s="1191"/>
      <c r="BX17" s="1191"/>
      <c r="BY17" s="1191"/>
      <c r="BZ17" s="1193"/>
      <c r="CA17" s="1192" t="s">
        <v>83</v>
      </c>
      <c r="CB17" s="1191"/>
      <c r="CC17" s="1191"/>
      <c r="CD17" s="1191"/>
      <c r="CE17" s="1193"/>
    </row>
    <row r="18" spans="1:83" ht="17.25" customHeight="1">
      <c r="A18" s="6"/>
      <c r="B18" s="53"/>
      <c r="C18" s="53"/>
      <c r="D18" s="54"/>
      <c r="E18" s="54"/>
      <c r="F18" s="53"/>
      <c r="G18" s="54"/>
      <c r="H18" s="54"/>
      <c r="I18" s="8"/>
      <c r="J18" s="46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46"/>
      <c r="Y18" s="56"/>
      <c r="Z18" s="56"/>
      <c r="AA18" s="56"/>
      <c r="AB18" s="9"/>
      <c r="AC18" s="2"/>
      <c r="AH18" s="1860" t="s">
        <v>84</v>
      </c>
      <c r="AI18" s="1860"/>
      <c r="AJ18" s="1860"/>
      <c r="AK18" s="828">
        <f>+ATAN(AK17)</f>
        <v>0.43974454577361805</v>
      </c>
      <c r="AL18" s="828"/>
      <c r="AM18" s="828"/>
      <c r="AV18" s="5"/>
      <c r="AW18" s="5"/>
      <c r="AX18" s="41">
        <f t="shared" si="6"/>
        <v>12</v>
      </c>
      <c r="AY18" s="24" t="s">
        <v>35</v>
      </c>
      <c r="AZ18" s="35">
        <v>13</v>
      </c>
      <c r="BA18" s="865">
        <f t="shared" si="7"/>
        <v>1</v>
      </c>
      <c r="BB18" s="866"/>
      <c r="BC18" s="26">
        <f t="shared" si="8"/>
        <v>31000</v>
      </c>
      <c r="BD18" s="36">
        <f t="shared" si="2"/>
        <v>0.17063492063492061</v>
      </c>
      <c r="BE18" s="1677">
        <f t="shared" si="3"/>
        <v>5.5043522785458264E-6</v>
      </c>
      <c r="BF18" s="1678"/>
      <c r="BG18" s="1857" t="s">
        <v>71</v>
      </c>
      <c r="BH18" s="1680"/>
      <c r="BJ18" s="28">
        <f>SUM(BA$6:BA17)+(BA18/2)</f>
        <v>12.5</v>
      </c>
      <c r="BK18" s="57"/>
      <c r="BL18" s="871">
        <v>13</v>
      </c>
      <c r="BM18" s="871"/>
      <c r="BN18" s="1606">
        <v>47</v>
      </c>
      <c r="BO18" s="1607"/>
      <c r="BQ18" s="1059" t="s">
        <v>85</v>
      </c>
      <c r="BR18" s="1060"/>
      <c r="BS18" s="1060"/>
      <c r="BT18" s="1060"/>
      <c r="BU18" s="1061"/>
      <c r="BV18" s="1199" t="s">
        <v>86</v>
      </c>
      <c r="BW18" s="1200"/>
      <c r="BX18" s="1200"/>
      <c r="BY18" s="1200"/>
      <c r="BZ18" s="1201"/>
      <c r="CA18" s="1119" t="s">
        <v>87</v>
      </c>
      <c r="CB18" s="1120"/>
      <c r="CC18" s="1120"/>
      <c r="CD18" s="1120"/>
      <c r="CE18" s="1121"/>
    </row>
    <row r="19" spans="1:83" ht="17.25" customHeight="1">
      <c r="A19" s="6"/>
      <c r="B19" s="53" t="s">
        <v>88</v>
      </c>
      <c r="C19" s="53"/>
      <c r="D19" s="54"/>
      <c r="E19" s="54"/>
      <c r="F19" s="53"/>
      <c r="G19" s="54"/>
      <c r="H19" s="54"/>
      <c r="I19" s="8" t="s">
        <v>89</v>
      </c>
      <c r="J19" s="46"/>
      <c r="K19" s="55" t="str">
        <f>P16&amp;" / ("&amp;H16&amp;")"</f>
        <v>81.8 / (14.6)</v>
      </c>
      <c r="L19" s="46"/>
      <c r="M19" s="46"/>
      <c r="N19" s="9"/>
      <c r="O19" s="9"/>
      <c r="P19" s="9"/>
      <c r="Q19" s="9"/>
      <c r="R19" s="9"/>
      <c r="S19" s="9"/>
      <c r="T19" s="9"/>
      <c r="U19" s="9"/>
      <c r="V19" s="9"/>
      <c r="W19" s="9"/>
      <c r="X19" s="58" t="s">
        <v>90</v>
      </c>
      <c r="Y19" s="954">
        <f>+ROUND(P16/(H16),2)</f>
        <v>5.6</v>
      </c>
      <c r="Z19" s="954"/>
      <c r="AA19" s="954"/>
      <c r="AB19" s="9"/>
      <c r="AC19" s="2"/>
      <c r="AH19" s="1859" t="s">
        <v>91</v>
      </c>
      <c r="AI19" s="1859"/>
      <c r="AJ19" s="1859"/>
      <c r="AK19" s="795">
        <f>+DEGREES(AK18)</f>
        <v>25.195506536725755</v>
      </c>
      <c r="AL19" s="795"/>
      <c r="AM19" s="795"/>
      <c r="AV19" s="5"/>
      <c r="AW19" s="5"/>
      <c r="AX19" s="41">
        <f t="shared" si="6"/>
        <v>13</v>
      </c>
      <c r="AY19" s="24" t="s">
        <v>35</v>
      </c>
      <c r="AZ19" s="35">
        <v>14</v>
      </c>
      <c r="BA19" s="865">
        <f t="shared" si="7"/>
        <v>1</v>
      </c>
      <c r="BB19" s="866"/>
      <c r="BC19" s="26">
        <f t="shared" si="8"/>
        <v>33000</v>
      </c>
      <c r="BD19" s="36">
        <f t="shared" si="2"/>
        <v>0.13095238095238101</v>
      </c>
      <c r="BE19" s="1677">
        <f t="shared" si="3"/>
        <v>3.9682539682539698E-6</v>
      </c>
      <c r="BF19" s="1678"/>
      <c r="BG19" s="1857" t="s">
        <v>71</v>
      </c>
      <c r="BH19" s="1680"/>
      <c r="BJ19" s="28">
        <f>SUM(BA$6:BA18)+(BA19/2)</f>
        <v>13.5</v>
      </c>
      <c r="BK19" s="57"/>
      <c r="BL19" s="871">
        <v>14</v>
      </c>
      <c r="BM19" s="871"/>
      <c r="BN19" s="1606">
        <v>51</v>
      </c>
      <c r="BO19" s="1607"/>
      <c r="BQ19" s="1059"/>
      <c r="BR19" s="1060"/>
      <c r="BS19" s="1060"/>
      <c r="BT19" s="1060"/>
      <c r="BU19" s="1061"/>
      <c r="BV19" s="1074" t="s">
        <v>92</v>
      </c>
      <c r="BW19" s="1075"/>
      <c r="BX19" s="1075"/>
      <c r="BY19" s="1075"/>
      <c r="BZ19" s="1076"/>
      <c r="CA19" s="1074" t="s">
        <v>93</v>
      </c>
      <c r="CB19" s="1075"/>
      <c r="CC19" s="1075"/>
      <c r="CD19" s="1075"/>
      <c r="CE19" s="1076"/>
    </row>
    <row r="20" spans="1:83" ht="16.5" customHeight="1">
      <c r="A20" s="6"/>
      <c r="AH20" s="53"/>
      <c r="AI20" s="53"/>
      <c r="AJ20" s="54"/>
      <c r="AK20" s="54"/>
      <c r="AL20" s="53"/>
      <c r="AM20" s="54"/>
      <c r="AN20" s="54"/>
      <c r="AO20" s="8"/>
      <c r="AP20" s="46"/>
      <c r="AQ20" s="55"/>
      <c r="AR20" s="46"/>
      <c r="AS20" s="46"/>
      <c r="AT20" s="9"/>
      <c r="AU20" s="9"/>
      <c r="AV20" s="9"/>
      <c r="AW20" s="9"/>
      <c r="AX20" s="41">
        <f t="shared" si="6"/>
        <v>14</v>
      </c>
      <c r="AY20" s="24" t="s">
        <v>35</v>
      </c>
      <c r="AZ20" s="35">
        <v>15</v>
      </c>
      <c r="BA20" s="865">
        <f t="shared" si="7"/>
        <v>1</v>
      </c>
      <c r="BB20" s="866"/>
      <c r="BC20" s="26">
        <f t="shared" si="8"/>
        <v>36000</v>
      </c>
      <c r="BD20" s="36">
        <f t="shared" si="2"/>
        <v>9.126984126984132E-2</v>
      </c>
      <c r="BE20" s="1677">
        <f t="shared" si="3"/>
        <v>2.5352733686067035E-6</v>
      </c>
      <c r="BF20" s="1678"/>
      <c r="BG20" s="1857" t="s">
        <v>71</v>
      </c>
      <c r="BH20" s="1680"/>
      <c r="BJ20" s="28">
        <f>SUM(BA$6:BA19)+(BA20/2)</f>
        <v>14.5</v>
      </c>
      <c r="BK20" s="57"/>
      <c r="BL20" s="871">
        <v>15</v>
      </c>
      <c r="BM20" s="871"/>
      <c r="BN20" s="1606">
        <v>57</v>
      </c>
      <c r="BO20" s="1607"/>
      <c r="BQ20" s="1150"/>
      <c r="BR20" s="1150"/>
      <c r="BS20" s="1150"/>
      <c r="BT20" s="1150"/>
      <c r="BU20" s="1150"/>
      <c r="BV20" s="1681"/>
      <c r="BW20" s="1681"/>
      <c r="BX20" s="1681"/>
      <c r="BY20" s="1681"/>
      <c r="BZ20" s="1681"/>
      <c r="CA20" s="1150"/>
      <c r="CB20" s="1150"/>
      <c r="CC20" s="1150"/>
      <c r="CD20" s="1150"/>
      <c r="CE20" s="1150"/>
    </row>
    <row r="21" spans="1:83" ht="17.25" customHeight="1">
      <c r="A21" s="6"/>
      <c r="B21" s="53" t="s">
        <v>94</v>
      </c>
      <c r="C21" s="53"/>
      <c r="D21" s="54"/>
      <c r="E21" s="54"/>
      <c r="F21" s="53"/>
      <c r="G21" s="54"/>
      <c r="H21" s="54"/>
      <c r="I21" s="8"/>
      <c r="J21" s="46"/>
      <c r="K21" s="59" t="str">
        <f>"DEGREE(" &amp; BD20 &amp; ") "</f>
        <v xml:space="preserve">DEGREE(0.0912698412698413) </v>
      </c>
      <c r="L21" s="60"/>
      <c r="M21" s="60"/>
      <c r="N21" s="61"/>
      <c r="O21" s="61"/>
      <c r="P21" s="61"/>
      <c r="Q21" s="9"/>
      <c r="R21" s="9"/>
      <c r="S21" s="9"/>
      <c r="T21" s="9"/>
      <c r="U21" s="9"/>
      <c r="V21" s="9"/>
      <c r="W21" s="9"/>
      <c r="X21" s="58" t="s">
        <v>90</v>
      </c>
      <c r="Y21" s="954">
        <f>ROUND(DEGREES(AK18),2)</f>
        <v>25.2</v>
      </c>
      <c r="Z21" s="954"/>
      <c r="AA21" s="954"/>
      <c r="AB21" s="62" t="s">
        <v>95</v>
      </c>
      <c r="AC21" s="2"/>
      <c r="AV21" s="5"/>
      <c r="AW21" s="5"/>
      <c r="AX21" s="41">
        <f t="shared" si="6"/>
        <v>15</v>
      </c>
      <c r="AY21" s="24" t="s">
        <v>35</v>
      </c>
      <c r="AZ21" s="35">
        <v>16</v>
      </c>
      <c r="BA21" s="865">
        <f t="shared" si="7"/>
        <v>1</v>
      </c>
      <c r="BB21" s="866"/>
      <c r="BC21" s="26">
        <f t="shared" si="8"/>
        <v>49000</v>
      </c>
      <c r="BD21" s="36">
        <f t="shared" si="2"/>
        <v>5.1587301587301626E-2</v>
      </c>
      <c r="BE21" s="1677">
        <f t="shared" si="3"/>
        <v>1.0528020732102373E-6</v>
      </c>
      <c r="BF21" s="1678"/>
      <c r="BG21" s="1857" t="s">
        <v>71</v>
      </c>
      <c r="BH21" s="1680"/>
      <c r="BJ21" s="28">
        <f>SUM(BA$6:BA20)+(BA21/2)</f>
        <v>15.5</v>
      </c>
      <c r="BK21" s="57"/>
      <c r="BL21" s="871">
        <v>16</v>
      </c>
      <c r="BM21" s="871"/>
      <c r="BN21" s="1606">
        <v>83</v>
      </c>
      <c r="BO21" s="1607"/>
      <c r="BQ21" s="1153"/>
      <c r="BR21" s="1153"/>
      <c r="BS21" s="1153"/>
      <c r="BT21" s="1153"/>
      <c r="BU21" s="1153"/>
      <c r="BV21" s="1063"/>
      <c r="BW21" s="1063"/>
      <c r="BX21" s="1063"/>
      <c r="BY21" s="1063"/>
      <c r="BZ21" s="1063"/>
      <c r="CA21" s="1191"/>
      <c r="CB21" s="1191"/>
      <c r="CC21" s="1191"/>
      <c r="CD21" s="1191"/>
      <c r="CE21" s="1191"/>
    </row>
    <row r="22" spans="1:83" ht="17.25" customHeight="1">
      <c r="A22" s="6"/>
      <c r="B22" s="8"/>
      <c r="C22" s="55"/>
      <c r="D22" s="8"/>
      <c r="E22" s="8"/>
      <c r="F22" s="63"/>
      <c r="G22" s="8"/>
      <c r="H22" s="8"/>
      <c r="I22" s="8"/>
      <c r="J22" s="46"/>
      <c r="K22" s="55"/>
      <c r="L22" s="46"/>
      <c r="M22" s="4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8"/>
      <c r="Z22" s="46"/>
      <c r="AA22" s="46"/>
      <c r="AB22" s="46"/>
      <c r="AC22" s="9"/>
      <c r="AV22" s="5"/>
      <c r="AW22" s="5"/>
      <c r="AX22" s="41">
        <f t="shared" si="6"/>
        <v>16</v>
      </c>
      <c r="AY22" s="24" t="s">
        <v>35</v>
      </c>
      <c r="AZ22" s="35">
        <v>17</v>
      </c>
      <c r="BA22" s="865">
        <f t="shared" si="7"/>
        <v>1</v>
      </c>
      <c r="BB22" s="866"/>
      <c r="BC22" s="26">
        <f t="shared" si="8"/>
        <v>54000</v>
      </c>
      <c r="BD22" s="36">
        <f t="shared" si="2"/>
        <v>1.1904761904761937E-2</v>
      </c>
      <c r="BE22" s="1677">
        <f t="shared" si="3"/>
        <v>2.2045855379188774E-7</v>
      </c>
      <c r="BF22" s="1678"/>
      <c r="BG22" s="1857" t="s">
        <v>71</v>
      </c>
      <c r="BH22" s="1680"/>
      <c r="BJ22" s="28">
        <f>SUM(BA$6:BA21)+(BA22/2)</f>
        <v>16.5</v>
      </c>
      <c r="BK22" s="57"/>
      <c r="BL22" s="871">
        <v>17</v>
      </c>
      <c r="BM22" s="871"/>
      <c r="BN22" s="1606">
        <v>93</v>
      </c>
      <c r="BO22" s="1607"/>
      <c r="BQ22" s="1153"/>
      <c r="BR22" s="1153"/>
      <c r="BS22" s="1153"/>
      <c r="BT22" s="1153"/>
      <c r="BU22" s="1153"/>
      <c r="BV22" s="1203"/>
      <c r="BW22" s="1203"/>
      <c r="BX22" s="1203"/>
      <c r="BY22" s="1203"/>
      <c r="BZ22" s="1203"/>
      <c r="CA22" s="1063"/>
      <c r="CB22" s="1063"/>
      <c r="CC22" s="1063"/>
      <c r="CD22" s="1063"/>
      <c r="CE22" s="1063"/>
    </row>
    <row r="23" spans="1:83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X23" s="41">
        <f t="shared" si="6"/>
        <v>17</v>
      </c>
      <c r="AY23" s="24" t="s">
        <v>35</v>
      </c>
      <c r="AZ23" s="35">
        <v>18</v>
      </c>
      <c r="BA23" s="865">
        <f t="shared" si="7"/>
        <v>1</v>
      </c>
      <c r="BB23" s="866"/>
      <c r="BC23" s="26">
        <f t="shared" si="8"/>
        <v>70000</v>
      </c>
      <c r="BD23" s="36">
        <f t="shared" si="2"/>
        <v>-2.7777777777777679E-2</v>
      </c>
      <c r="BE23" s="1677">
        <f t="shared" si="3"/>
        <v>0</v>
      </c>
      <c r="BF23" s="1678"/>
      <c r="BG23" s="1857" t="s">
        <v>71</v>
      </c>
      <c r="BH23" s="1680"/>
      <c r="BJ23" s="28">
        <f>SUM(BA$6:BA22)+(BA23/2)</f>
        <v>17.5</v>
      </c>
      <c r="BK23" s="57"/>
      <c r="BL23" s="871">
        <v>18</v>
      </c>
      <c r="BM23" s="871"/>
      <c r="BN23" s="1606">
        <v>125</v>
      </c>
      <c r="BO23" s="1607"/>
      <c r="BQ23" s="1153"/>
      <c r="BR23" s="1153"/>
      <c r="BS23" s="1153"/>
      <c r="BT23" s="1153"/>
      <c r="BU23" s="1153"/>
      <c r="BV23" s="1063"/>
      <c r="BW23" s="1063"/>
      <c r="BX23" s="1063"/>
      <c r="BY23" s="1063"/>
      <c r="BZ23" s="1063"/>
      <c r="CA23" s="1063"/>
      <c r="CB23" s="1063"/>
      <c r="CC23" s="1063"/>
      <c r="CD23" s="1063"/>
      <c r="CE23" s="1063"/>
    </row>
    <row r="24" spans="1:83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X24" s="41">
        <f t="shared" si="6"/>
        <v>18</v>
      </c>
      <c r="AY24" s="24" t="s">
        <v>35</v>
      </c>
      <c r="AZ24" s="35">
        <v>19</v>
      </c>
      <c r="BA24" s="865">
        <f t="shared" si="7"/>
        <v>1</v>
      </c>
      <c r="BB24" s="866"/>
      <c r="BC24" s="26">
        <f t="shared" si="8"/>
        <v>70000</v>
      </c>
      <c r="BD24" s="36">
        <f t="shared" si="2"/>
        <v>-6.7460317460317373E-2</v>
      </c>
      <c r="BE24" s="1677">
        <f t="shared" si="3"/>
        <v>0</v>
      </c>
      <c r="BF24" s="1678"/>
      <c r="BG24" s="1857" t="s">
        <v>71</v>
      </c>
      <c r="BH24" s="1680"/>
      <c r="BJ24" s="28">
        <f>SUM(BA$6:BA23)+(BA24/2)</f>
        <v>18.5</v>
      </c>
      <c r="BK24" s="57"/>
      <c r="BL24" s="871">
        <v>19</v>
      </c>
      <c r="BM24" s="871"/>
      <c r="BN24" s="1858">
        <v>125</v>
      </c>
      <c r="BO24" s="1851"/>
      <c r="BQ24" s="1153"/>
      <c r="BR24" s="1153"/>
      <c r="BS24" s="1153"/>
      <c r="BT24" s="1153"/>
      <c r="BU24" s="1153"/>
      <c r="BV24" s="1191"/>
      <c r="BW24" s="1191"/>
      <c r="BX24" s="1191"/>
      <c r="BY24" s="1191"/>
      <c r="BZ24" s="1191"/>
      <c r="CA24" s="1063"/>
      <c r="CB24" s="1063"/>
      <c r="CC24" s="1063"/>
      <c r="CD24" s="1063"/>
      <c r="CE24" s="1063"/>
    </row>
    <row r="25" spans="1:83" ht="28.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X25" s="41">
        <f t="shared" si="6"/>
        <v>19</v>
      </c>
      <c r="AY25" s="24" t="s">
        <v>35</v>
      </c>
      <c r="AZ25" s="35">
        <v>20</v>
      </c>
      <c r="BA25" s="865">
        <f t="shared" si="7"/>
        <v>1</v>
      </c>
      <c r="BB25" s="866"/>
      <c r="BC25" s="26">
        <f t="shared" si="8"/>
        <v>114500</v>
      </c>
      <c r="BD25" s="36">
        <f t="shared" si="2"/>
        <v>-0.10714285714285705</v>
      </c>
      <c r="BE25" s="1677">
        <f t="shared" si="3"/>
        <v>0</v>
      </c>
      <c r="BF25" s="1678"/>
      <c r="BG25" s="1857" t="s">
        <v>71</v>
      </c>
      <c r="BH25" s="1680"/>
      <c r="BJ25" s="28">
        <f>SUM($BA$6:BA24)+(BA25/2)</f>
        <v>19.5</v>
      </c>
      <c r="BK25" s="57"/>
      <c r="BL25" s="871">
        <v>20</v>
      </c>
      <c r="BM25" s="871"/>
      <c r="BN25" s="1851">
        <v>214</v>
      </c>
      <c r="BO25" s="1851"/>
      <c r="BQ25" s="1153"/>
      <c r="BR25" s="1153"/>
      <c r="BS25" s="1153"/>
      <c r="BT25" s="1153"/>
      <c r="BU25" s="1153"/>
      <c r="BV25" s="1063"/>
      <c r="BW25" s="1063"/>
      <c r="BX25" s="1063"/>
      <c r="BY25" s="1063"/>
      <c r="BZ25" s="1063"/>
      <c r="CA25" s="1063"/>
      <c r="CB25" s="1063"/>
      <c r="CC25" s="1063"/>
      <c r="CD25" s="1063"/>
      <c r="CE25" s="1063"/>
    </row>
    <row r="26" spans="1:83" ht="15.7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X26" s="41">
        <f t="shared" si="6"/>
        <v>20</v>
      </c>
      <c r="AY26" s="24" t="s">
        <v>35</v>
      </c>
      <c r="AZ26" s="35">
        <v>21</v>
      </c>
      <c r="BA26" s="865">
        <f t="shared" si="7"/>
        <v>1</v>
      </c>
      <c r="BB26" s="866"/>
      <c r="BC26" s="26">
        <f>1200*(BN26+6)</f>
        <v>264000</v>
      </c>
      <c r="BD26" s="36">
        <f t="shared" si="2"/>
        <v>-0.14682539682539675</v>
      </c>
      <c r="BE26" s="1677">
        <f t="shared" si="3"/>
        <v>0</v>
      </c>
      <c r="BF26" s="1678"/>
      <c r="BG26" s="1857" t="s">
        <v>74</v>
      </c>
      <c r="BH26" s="1680"/>
      <c r="BJ26" s="28">
        <f>SUM($BA$6:BA25)+(BA26/2)</f>
        <v>20.5</v>
      </c>
      <c r="BK26" s="57"/>
      <c r="BL26" s="871">
        <v>21</v>
      </c>
      <c r="BM26" s="871"/>
      <c r="BN26" s="1851">
        <v>214</v>
      </c>
      <c r="BO26" s="1851"/>
      <c r="BQ26" s="1153"/>
      <c r="BR26" s="1153"/>
      <c r="BS26" s="1153"/>
      <c r="BT26" s="1153"/>
      <c r="BU26" s="1153"/>
      <c r="BV26" s="1063"/>
      <c r="BW26" s="1063"/>
      <c r="BX26" s="1063"/>
      <c r="BY26" s="1063"/>
      <c r="BZ26" s="1063"/>
      <c r="CA26" s="1063"/>
      <c r="CB26" s="1063"/>
      <c r="CC26" s="1063"/>
      <c r="CD26" s="1063"/>
      <c r="CE26" s="1063"/>
    </row>
    <row r="27" spans="1:83" ht="15.7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X27" s="41">
        <f t="shared" si="6"/>
        <v>21</v>
      </c>
      <c r="AY27" s="24" t="s">
        <v>35</v>
      </c>
      <c r="AZ27" s="35">
        <v>22</v>
      </c>
      <c r="BA27" s="865">
        <f t="shared" si="7"/>
        <v>1</v>
      </c>
      <c r="BB27" s="866"/>
      <c r="BC27" s="26">
        <f>1200*(BN27+6)</f>
        <v>264000</v>
      </c>
      <c r="BD27" s="36">
        <f t="shared" si="2"/>
        <v>-0.18650793650793643</v>
      </c>
      <c r="BE27" s="1677">
        <f t="shared" si="3"/>
        <v>0</v>
      </c>
      <c r="BF27" s="1678"/>
      <c r="BG27" s="1857" t="s">
        <v>74</v>
      </c>
      <c r="BH27" s="1680"/>
      <c r="BJ27" s="28">
        <f>SUM($BA$6:BA26)+(BA27/2)</f>
        <v>21.5</v>
      </c>
      <c r="BK27" s="57"/>
      <c r="BL27" s="871">
        <v>22</v>
      </c>
      <c r="BM27" s="871"/>
      <c r="BN27" s="1851">
        <v>214</v>
      </c>
      <c r="BO27" s="1851"/>
      <c r="BQ27" s="1153"/>
      <c r="BR27" s="1153"/>
      <c r="BS27" s="1153"/>
      <c r="BT27" s="1153"/>
      <c r="BU27" s="1153"/>
      <c r="BV27" s="1203"/>
      <c r="BW27" s="1203"/>
      <c r="BX27" s="1203"/>
      <c r="BY27" s="1203"/>
      <c r="BZ27" s="1203"/>
      <c r="CA27" s="1063"/>
      <c r="CB27" s="1063"/>
      <c r="CC27" s="1063"/>
      <c r="CD27" s="1063"/>
      <c r="CE27" s="1063"/>
    </row>
    <row r="28" spans="1:83" ht="17.2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X28" s="41">
        <v>0</v>
      </c>
      <c r="AY28" s="24" t="s">
        <v>35</v>
      </c>
      <c r="AZ28" s="35"/>
      <c r="BA28" s="865">
        <f t="shared" si="7"/>
        <v>0</v>
      </c>
      <c r="BB28" s="866"/>
      <c r="BC28" s="26">
        <f t="shared" ref="BC28:BC32" si="9">1200*(BN28+6)</f>
        <v>7200</v>
      </c>
      <c r="BD28" s="36">
        <f t="shared" si="2"/>
        <v>-0.20634920634920637</v>
      </c>
      <c r="BE28" s="1677">
        <f t="shared" si="3"/>
        <v>0</v>
      </c>
      <c r="BF28" s="1678"/>
      <c r="BG28" s="1679"/>
      <c r="BH28" s="1680"/>
      <c r="BJ28" s="28">
        <f>SUM($BA$6:BA27)+(BA28/2)</f>
        <v>22</v>
      </c>
      <c r="BK28" s="57"/>
      <c r="BL28" s="871">
        <v>23</v>
      </c>
      <c r="BM28" s="871"/>
      <c r="BN28" s="1851"/>
      <c r="BO28" s="1851"/>
      <c r="BQ28" s="1153"/>
      <c r="BR28" s="1153"/>
      <c r="BS28" s="1153"/>
      <c r="BT28" s="1153"/>
      <c r="BU28" s="1153"/>
      <c r="BV28" s="1191"/>
      <c r="BW28" s="1191"/>
      <c r="BX28" s="1191"/>
      <c r="BY28" s="1191"/>
      <c r="BZ28" s="1191"/>
      <c r="CA28" s="1063"/>
      <c r="CB28" s="1063"/>
      <c r="CC28" s="1063"/>
      <c r="CD28" s="1063"/>
      <c r="CE28" s="1063"/>
    </row>
    <row r="29" spans="1:83" ht="17.2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X29" s="41">
        <f t="shared" si="6"/>
        <v>0</v>
      </c>
      <c r="AY29" s="24" t="s">
        <v>35</v>
      </c>
      <c r="AZ29" s="35"/>
      <c r="BA29" s="865">
        <f t="shared" si="7"/>
        <v>0</v>
      </c>
      <c r="BB29" s="866"/>
      <c r="BC29" s="26">
        <f t="shared" si="9"/>
        <v>7200</v>
      </c>
      <c r="BD29" s="36">
        <f t="shared" si="2"/>
        <v>-0.20634920634920637</v>
      </c>
      <c r="BE29" s="1677">
        <f t="shared" si="3"/>
        <v>0</v>
      </c>
      <c r="BF29" s="1678"/>
      <c r="BG29" s="1679"/>
      <c r="BH29" s="1680"/>
      <c r="BJ29" s="28">
        <f>SUM($BA$6:BA28)+(BA29/2)</f>
        <v>22</v>
      </c>
      <c r="BK29" s="57"/>
      <c r="BL29" s="871">
        <v>24</v>
      </c>
      <c r="BM29" s="871"/>
      <c r="BN29" s="1851"/>
      <c r="BO29" s="1851"/>
      <c r="BQ29" s="1153"/>
      <c r="BR29" s="1153"/>
      <c r="BS29" s="1153"/>
      <c r="BT29" s="1153"/>
      <c r="BU29" s="1153"/>
      <c r="BV29" s="1191"/>
      <c r="BW29" s="1191"/>
      <c r="BX29" s="1191"/>
      <c r="BY29" s="1191"/>
      <c r="BZ29" s="1191"/>
      <c r="CA29" s="1063"/>
      <c r="CB29" s="1063"/>
      <c r="CC29" s="1063"/>
      <c r="CD29" s="1063"/>
      <c r="CE29" s="1063"/>
    </row>
    <row r="30" spans="1:83" ht="30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X30" s="41">
        <f t="shared" si="6"/>
        <v>0</v>
      </c>
      <c r="AY30" s="24" t="s">
        <v>35</v>
      </c>
      <c r="AZ30" s="35"/>
      <c r="BA30" s="865">
        <f t="shared" si="7"/>
        <v>0</v>
      </c>
      <c r="BB30" s="866"/>
      <c r="BC30" s="26">
        <f t="shared" si="9"/>
        <v>7200</v>
      </c>
      <c r="BD30" s="36">
        <f t="shared" si="2"/>
        <v>-0.20634920634920637</v>
      </c>
      <c r="BE30" s="1677">
        <f t="shared" si="3"/>
        <v>0</v>
      </c>
      <c r="BF30" s="1678"/>
      <c r="BG30" s="1679"/>
      <c r="BH30" s="1680"/>
      <c r="BJ30" s="28">
        <f>SUM($BA$6:BA29)+(BA30/2)</f>
        <v>22</v>
      </c>
      <c r="BK30" s="57"/>
      <c r="BL30" s="871">
        <v>25</v>
      </c>
      <c r="BM30" s="871"/>
      <c r="BN30" s="1851"/>
      <c r="BO30" s="1851"/>
      <c r="BQ30" s="1153"/>
      <c r="BR30" s="1153"/>
      <c r="BS30" s="1153"/>
      <c r="BT30" s="1153"/>
      <c r="BU30" s="1153"/>
      <c r="BV30" s="1191"/>
      <c r="BW30" s="1191"/>
      <c r="BX30" s="1191"/>
      <c r="BY30" s="1191"/>
      <c r="BZ30" s="1191"/>
      <c r="CA30" s="1191"/>
      <c r="CB30" s="1191"/>
      <c r="CC30" s="1191"/>
      <c r="CD30" s="1191"/>
      <c r="CE30" s="1191"/>
    </row>
    <row r="31" spans="1:83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X31" s="41">
        <f t="shared" si="6"/>
        <v>0</v>
      </c>
      <c r="AY31" s="24" t="s">
        <v>35</v>
      </c>
      <c r="AZ31" s="35"/>
      <c r="BA31" s="865">
        <f t="shared" si="7"/>
        <v>0</v>
      </c>
      <c r="BB31" s="866"/>
      <c r="BC31" s="26">
        <f t="shared" si="9"/>
        <v>7200</v>
      </c>
      <c r="BD31" s="36">
        <f t="shared" si="2"/>
        <v>-0.20634920634920637</v>
      </c>
      <c r="BE31" s="1677">
        <f t="shared" si="3"/>
        <v>0</v>
      </c>
      <c r="BF31" s="1678"/>
      <c r="BG31" s="1679"/>
      <c r="BH31" s="1680"/>
      <c r="BJ31" s="28">
        <f>SUM($BA$6:BA30)+(BA31/2)</f>
        <v>22</v>
      </c>
      <c r="BK31" s="57"/>
      <c r="BL31" s="871">
        <v>26</v>
      </c>
      <c r="BM31" s="871"/>
      <c r="BN31" s="1851"/>
      <c r="BO31" s="1851"/>
      <c r="BQ31" s="1153"/>
      <c r="BR31" s="1153"/>
      <c r="BS31" s="1153"/>
      <c r="BT31" s="1153"/>
      <c r="BU31" s="1153"/>
      <c r="BV31" s="1191"/>
      <c r="BW31" s="1191"/>
      <c r="BX31" s="1191"/>
      <c r="BY31" s="1191"/>
      <c r="BZ31" s="1191"/>
      <c r="CA31" s="1063"/>
      <c r="CB31" s="1063"/>
      <c r="CC31" s="1063"/>
      <c r="CD31" s="1063"/>
      <c r="CE31" s="1063"/>
    </row>
    <row r="32" spans="1:83" ht="17.25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X32" s="64">
        <f>+AZ31</f>
        <v>0</v>
      </c>
      <c r="AY32" s="65" t="s">
        <v>96</v>
      </c>
      <c r="AZ32" s="66"/>
      <c r="BA32" s="1675">
        <f t="shared" si="7"/>
        <v>0</v>
      </c>
      <c r="BB32" s="1676"/>
      <c r="BC32" s="67">
        <f t="shared" si="9"/>
        <v>7200</v>
      </c>
      <c r="BD32" s="36">
        <f t="shared" si="2"/>
        <v>-0.20634920634920637</v>
      </c>
      <c r="BE32" s="1677">
        <f t="shared" si="3"/>
        <v>0</v>
      </c>
      <c r="BF32" s="1678"/>
      <c r="BG32" s="1679"/>
      <c r="BH32" s="1680"/>
      <c r="BJ32" s="28">
        <f>SUM($BA$6:BA31)+(BA32/2)</f>
        <v>22</v>
      </c>
      <c r="BK32" s="57"/>
      <c r="BL32" s="871">
        <v>27</v>
      </c>
      <c r="BM32" s="871"/>
      <c r="BN32" s="1851"/>
      <c r="BO32" s="1851"/>
      <c r="BQ32" s="1153"/>
      <c r="BR32" s="1153"/>
      <c r="BS32" s="1153"/>
      <c r="BT32" s="1153"/>
      <c r="BU32" s="1153"/>
      <c r="BV32" s="1191"/>
      <c r="BW32" s="1191"/>
      <c r="BX32" s="1191"/>
      <c r="BY32" s="1191"/>
      <c r="BZ32" s="1191"/>
      <c r="CA32" s="1191"/>
      <c r="CB32" s="1191"/>
      <c r="CC32" s="1191"/>
      <c r="CD32" s="1191"/>
      <c r="CE32" s="1191"/>
    </row>
    <row r="33" spans="1:71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X33" s="3"/>
      <c r="AY33" s="3"/>
      <c r="BA33" s="68"/>
      <c r="BB33" s="68"/>
      <c r="BC33" s="69"/>
      <c r="BD33" s="70"/>
      <c r="BE33" s="71" t="s">
        <v>97</v>
      </c>
      <c r="BF33" s="1673"/>
      <c r="BG33" s="1674"/>
      <c r="BH33" s="1671"/>
      <c r="BI33" s="1672"/>
      <c r="BR33" s="5"/>
      <c r="BS33" s="5"/>
    </row>
    <row r="34" spans="1:71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</row>
    <row r="35" spans="1:71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</row>
    <row r="36" spans="1:71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F36" s="72"/>
    </row>
    <row r="37" spans="1:71" ht="17.25" customHeight="1">
      <c r="A37" s="6"/>
      <c r="B37" s="73" t="s">
        <v>414</v>
      </c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</row>
    <row r="38" spans="1:71" ht="17.25" customHeight="1">
      <c r="A38" s="6"/>
      <c r="B38" s="73" t="s">
        <v>416</v>
      </c>
      <c r="C38" s="73"/>
      <c r="D38" s="74"/>
      <c r="E38" s="74"/>
      <c r="F38" s="75"/>
      <c r="G38" s="74"/>
      <c r="H38" s="74"/>
      <c r="I38" s="74"/>
      <c r="J38" s="76"/>
      <c r="K38" s="73"/>
      <c r="L38" s="76"/>
      <c r="M38" s="76"/>
      <c r="N38" s="77"/>
      <c r="O38" s="77"/>
      <c r="P38" s="77"/>
      <c r="Q38" s="77"/>
      <c r="R38" s="77"/>
      <c r="S38" s="77"/>
      <c r="T38" s="9"/>
      <c r="U38" s="9"/>
      <c r="V38" s="9"/>
      <c r="W38" s="9"/>
      <c r="X38" s="9"/>
      <c r="Y38" s="58"/>
      <c r="Z38" s="46"/>
      <c r="AA38" s="46"/>
      <c r="AB38" s="46"/>
      <c r="AC38" s="9"/>
    </row>
    <row r="39" spans="1:71" ht="17.25" customHeight="1">
      <c r="A39" s="6"/>
      <c r="B39" s="73" t="s">
        <v>415</v>
      </c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46"/>
      <c r="AC39" s="9"/>
    </row>
    <row r="40" spans="1:71" ht="17.25" customHeight="1">
      <c r="A40" s="6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46"/>
      <c r="AC40" s="9"/>
    </row>
    <row r="41" spans="1:71" ht="17.25" customHeight="1">
      <c r="A41" s="6"/>
      <c r="B41" s="74"/>
      <c r="C41" s="73"/>
      <c r="D41" s="74"/>
      <c r="E41" s="74"/>
      <c r="F41" s="75"/>
      <c r="G41" s="74"/>
      <c r="H41" s="74"/>
      <c r="I41" s="74"/>
      <c r="J41" s="76"/>
      <c r="K41" s="73"/>
      <c r="L41" s="76"/>
      <c r="M41" s="76"/>
      <c r="N41" s="77"/>
      <c r="O41" s="77"/>
      <c r="P41" s="77"/>
      <c r="Q41" s="77"/>
      <c r="R41" s="77"/>
      <c r="S41" s="77"/>
      <c r="T41" s="9"/>
      <c r="U41" s="9"/>
      <c r="V41" s="9"/>
      <c r="W41" s="9"/>
      <c r="X41" s="9"/>
      <c r="Y41" s="58"/>
      <c r="Z41" s="46"/>
      <c r="AA41" s="46"/>
      <c r="AB41" s="46"/>
      <c r="AC41" s="9"/>
      <c r="AX41" s="78"/>
    </row>
    <row r="42" spans="1:71" ht="17.25" customHeight="1">
      <c r="A42" s="6"/>
      <c r="B42" s="8"/>
      <c r="C42" s="55"/>
      <c r="D42" s="8"/>
      <c r="E42" s="8"/>
      <c r="F42" s="63"/>
      <c r="G42" s="8"/>
      <c r="H42" s="8"/>
      <c r="I42" s="8"/>
      <c r="J42" s="46"/>
      <c r="K42" s="55"/>
      <c r="L42" s="46"/>
      <c r="M42" s="4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58"/>
      <c r="Z42" s="46"/>
      <c r="AA42" s="46"/>
      <c r="AB42" s="46"/>
      <c r="AC42" s="9"/>
      <c r="AX42" s="79"/>
    </row>
    <row r="43" spans="1:71" ht="17.25" customHeight="1">
      <c r="A43" s="6"/>
      <c r="B43" s="7" t="s">
        <v>98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9"/>
    </row>
    <row r="44" spans="1:71" ht="17.25" customHeight="1">
      <c r="A44" s="6"/>
      <c r="B44" s="7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9"/>
    </row>
    <row r="45" spans="1:71" ht="17.25" customHeight="1">
      <c r="A45" s="6"/>
      <c r="B45" s="80" t="s">
        <v>99</v>
      </c>
      <c r="C45" s="81" t="s">
        <v>100</v>
      </c>
      <c r="D45" s="81"/>
      <c r="E45" s="81"/>
      <c r="F45" s="81"/>
      <c r="G45" s="81"/>
      <c r="H45" s="81"/>
      <c r="I45" s="80"/>
      <c r="J45" s="1853"/>
      <c r="K45" s="1853"/>
      <c r="L45" s="81"/>
      <c r="M45" s="81"/>
      <c r="N45" s="81"/>
      <c r="O45" s="81"/>
      <c r="P45" s="81"/>
      <c r="Q45" s="82"/>
      <c r="R45" s="82"/>
      <c r="S45" s="82"/>
      <c r="T45" s="82"/>
      <c r="U45" s="82"/>
      <c r="V45" s="82"/>
      <c r="W45" s="83"/>
      <c r="X45" s="82"/>
      <c r="Y45" s="82"/>
      <c r="Z45" s="82"/>
      <c r="AA45" s="76"/>
      <c r="AB45" s="46"/>
      <c r="AC45" s="9"/>
    </row>
    <row r="46" spans="1:71" ht="17.25" customHeight="1">
      <c r="A46" s="6"/>
      <c r="B46" s="80" t="s">
        <v>101</v>
      </c>
      <c r="C46" s="84" t="s">
        <v>102</v>
      </c>
      <c r="D46" s="84"/>
      <c r="E46" s="84"/>
      <c r="F46" s="84"/>
      <c r="G46" s="85"/>
      <c r="H46" s="86" t="s">
        <v>103</v>
      </c>
      <c r="I46" s="87">
        <v>12</v>
      </c>
      <c r="J46" s="86"/>
      <c r="K46" s="1854" t="s">
        <v>104</v>
      </c>
      <c r="L46" s="1855"/>
      <c r="M46" s="1855"/>
      <c r="N46" s="1855"/>
      <c r="O46" s="1856"/>
      <c r="P46" s="84"/>
      <c r="Q46" s="85"/>
      <c r="R46" s="85"/>
      <c r="S46" s="85"/>
      <c r="T46" s="77"/>
      <c r="U46" s="77"/>
      <c r="V46" s="77"/>
      <c r="W46" s="88"/>
      <c r="X46" s="88"/>
      <c r="Y46" s="88"/>
      <c r="Z46" s="88"/>
      <c r="AA46" s="76"/>
      <c r="AB46" s="46"/>
      <c r="AC46" s="9"/>
    </row>
    <row r="47" spans="1:71" ht="17.25" customHeight="1">
      <c r="A47" s="6"/>
      <c r="B47" s="81"/>
      <c r="C47" s="89" t="s">
        <v>105</v>
      </c>
      <c r="D47" s="84"/>
      <c r="E47" s="84"/>
      <c r="F47" s="84" t="s">
        <v>106</v>
      </c>
      <c r="G47" s="84"/>
      <c r="H47" s="84"/>
      <c r="I47" s="84"/>
      <c r="J47" s="84"/>
      <c r="K47" s="84"/>
      <c r="L47" s="84"/>
      <c r="M47" s="1850"/>
      <c r="N47" s="1850"/>
      <c r="O47" s="84"/>
      <c r="P47" s="84"/>
      <c r="Q47" s="90"/>
      <c r="R47" s="90"/>
      <c r="S47" s="90"/>
      <c r="T47" s="76"/>
      <c r="U47" s="76"/>
      <c r="V47" s="76"/>
      <c r="W47" s="91"/>
      <c r="X47" s="91"/>
      <c r="Y47" s="91"/>
      <c r="Z47" s="91"/>
      <c r="AA47" s="76"/>
      <c r="AB47" s="46"/>
      <c r="AC47" s="9"/>
    </row>
    <row r="48" spans="1:71" ht="17.25" customHeight="1">
      <c r="A48" s="6"/>
      <c r="B48" s="81"/>
      <c r="C48" s="86" t="s">
        <v>107</v>
      </c>
      <c r="D48" s="84" t="s">
        <v>108</v>
      </c>
      <c r="E48" s="84"/>
      <c r="F48" s="84"/>
      <c r="G48" s="84"/>
      <c r="H48" s="84" t="s">
        <v>109</v>
      </c>
      <c r="I48" s="84"/>
      <c r="J48" s="84"/>
      <c r="K48" s="84"/>
      <c r="L48" s="92" t="s">
        <v>110</v>
      </c>
      <c r="M48" s="93">
        <f>ROUND(I46/0.75,0)</f>
        <v>16</v>
      </c>
      <c r="N48" s="93"/>
      <c r="O48" s="84"/>
      <c r="P48" s="85" t="s">
        <v>111</v>
      </c>
      <c r="Q48" s="85"/>
      <c r="R48" s="84">
        <f>+M48/2</f>
        <v>8</v>
      </c>
      <c r="S48" s="85"/>
      <c r="T48" s="77"/>
      <c r="U48" s="77"/>
      <c r="V48" s="77"/>
      <c r="W48" s="77"/>
      <c r="X48" s="77"/>
      <c r="Y48" s="77"/>
      <c r="Z48" s="77"/>
      <c r="AA48" s="77"/>
      <c r="AB48" s="9"/>
      <c r="AC48" s="9"/>
      <c r="AD48" s="58"/>
      <c r="AE48" s="46"/>
      <c r="AF48" s="46"/>
      <c r="AG48" s="46"/>
      <c r="AH48" s="9"/>
      <c r="AX48" s="3"/>
      <c r="AY48" s="3"/>
      <c r="BC48" s="5"/>
      <c r="BD48" s="5"/>
    </row>
    <row r="49" spans="1:56" ht="17.25" customHeight="1">
      <c r="A49" s="6"/>
      <c r="B49" s="81"/>
      <c r="C49" s="86" t="s">
        <v>107</v>
      </c>
      <c r="D49" s="84" t="s">
        <v>112</v>
      </c>
      <c r="E49" s="84"/>
      <c r="F49" s="84"/>
      <c r="G49" s="84"/>
      <c r="H49" s="84" t="s">
        <v>113</v>
      </c>
      <c r="I49" s="84"/>
      <c r="J49" s="84"/>
      <c r="K49" s="84"/>
      <c r="L49" s="92" t="s">
        <v>110</v>
      </c>
      <c r="M49" s="93">
        <f>ROUND(I46/0.82,0)</f>
        <v>15</v>
      </c>
      <c r="N49" s="93"/>
      <c r="O49" s="84"/>
      <c r="P49" s="85" t="s">
        <v>111</v>
      </c>
      <c r="Q49" s="94"/>
      <c r="R49" s="84">
        <f>+M49/2</f>
        <v>7.5</v>
      </c>
      <c r="S49" s="85"/>
      <c r="T49" s="77"/>
      <c r="U49" s="77"/>
      <c r="V49" s="77"/>
      <c r="W49" s="77"/>
      <c r="X49" s="77"/>
      <c r="Y49" s="77"/>
      <c r="Z49" s="77"/>
      <c r="AA49" s="77"/>
      <c r="AB49" s="9"/>
      <c r="AC49" s="9"/>
      <c r="AD49" s="9"/>
      <c r="AE49" s="9"/>
      <c r="AF49" s="9"/>
      <c r="AG49" s="9"/>
      <c r="AH49" s="9"/>
      <c r="AX49" s="3"/>
      <c r="AY49" s="3"/>
      <c r="BC49" s="5"/>
      <c r="BD49" s="5"/>
    </row>
    <row r="50" spans="1:56" ht="17.25" customHeight="1">
      <c r="A50" s="6"/>
      <c r="B50" s="80"/>
      <c r="C50" s="86" t="s">
        <v>107</v>
      </c>
      <c r="D50" s="84" t="s">
        <v>114</v>
      </c>
      <c r="E50" s="84"/>
      <c r="F50" s="84"/>
      <c r="G50" s="84"/>
      <c r="H50" s="84" t="s">
        <v>115</v>
      </c>
      <c r="I50" s="84"/>
      <c r="J50" s="84"/>
      <c r="K50" s="84"/>
      <c r="L50" s="92" t="s">
        <v>110</v>
      </c>
      <c r="M50" s="93">
        <f>ROUND(4+I46/2,0)</f>
        <v>10</v>
      </c>
      <c r="N50" s="93"/>
      <c r="O50" s="84"/>
      <c r="P50" s="85" t="s">
        <v>111</v>
      </c>
      <c r="Q50" s="95"/>
      <c r="R50" s="84">
        <f>+M50/2</f>
        <v>5</v>
      </c>
      <c r="S50" s="96"/>
      <c r="T50" s="82"/>
      <c r="U50" s="82"/>
      <c r="V50" s="82"/>
      <c r="W50" s="82"/>
      <c r="X50" s="82"/>
      <c r="Y50" s="82"/>
      <c r="Z50" s="82"/>
      <c r="AA50" s="82"/>
      <c r="AB50" s="97"/>
      <c r="AC50" s="97"/>
      <c r="AD50" s="97"/>
      <c r="AE50" s="97"/>
      <c r="AF50" s="46"/>
      <c r="AG50" s="46"/>
      <c r="AH50" s="9"/>
      <c r="AX50" s="3"/>
      <c r="AY50" s="3"/>
      <c r="BC50" s="5"/>
      <c r="BD50" s="5"/>
    </row>
    <row r="51" spans="1:56" ht="17.25" customHeight="1">
      <c r="A51" s="6"/>
      <c r="B51" s="85"/>
      <c r="C51" s="84" t="s">
        <v>116</v>
      </c>
      <c r="D51" s="84"/>
      <c r="E51" s="84"/>
      <c r="F51" s="84"/>
      <c r="G51" s="84"/>
      <c r="H51" s="84"/>
      <c r="I51" s="84"/>
      <c r="J51" s="84" t="s">
        <v>103</v>
      </c>
      <c r="K51" s="84"/>
      <c r="L51" s="84">
        <f>+R50</f>
        <v>5</v>
      </c>
      <c r="M51" s="89" t="s">
        <v>117</v>
      </c>
      <c r="N51" s="86"/>
      <c r="O51" s="84"/>
      <c r="P51" s="84" t="s">
        <v>409</v>
      </c>
      <c r="Q51" s="98"/>
      <c r="R51" s="85"/>
      <c r="S51" s="85"/>
      <c r="T51" s="77"/>
      <c r="U51" s="77"/>
      <c r="V51" s="77"/>
      <c r="W51" s="77"/>
      <c r="X51" s="77"/>
      <c r="Y51" s="77"/>
      <c r="Z51" s="99"/>
      <c r="AA51" s="99"/>
      <c r="AB51" s="100"/>
      <c r="AC51" s="100"/>
      <c r="AD51" s="100"/>
      <c r="AE51" s="100"/>
      <c r="AF51" s="46"/>
      <c r="AG51" s="46"/>
      <c r="AH51" s="9"/>
      <c r="AX51" s="3"/>
      <c r="AY51" s="3"/>
      <c r="BC51" s="5"/>
      <c r="BD51" s="5"/>
    </row>
    <row r="52" spans="1:56" ht="9.75" customHeight="1">
      <c r="A52" s="6"/>
      <c r="B52" s="77"/>
      <c r="C52" s="85"/>
      <c r="D52" s="101"/>
      <c r="E52" s="101"/>
      <c r="F52" s="101"/>
      <c r="G52" s="102"/>
      <c r="H52" s="102"/>
      <c r="I52" s="102"/>
      <c r="J52" s="102"/>
      <c r="K52" s="103"/>
      <c r="L52" s="103"/>
      <c r="M52" s="103"/>
      <c r="N52" s="103"/>
      <c r="O52" s="103"/>
      <c r="P52" s="103"/>
      <c r="Q52" s="85"/>
      <c r="R52" s="85"/>
      <c r="S52" s="85"/>
      <c r="T52" s="77"/>
      <c r="U52" s="77"/>
      <c r="V52" s="77"/>
      <c r="W52" s="77"/>
      <c r="X52" s="77"/>
      <c r="Y52" s="77"/>
      <c r="Z52" s="77"/>
      <c r="AA52" s="77"/>
      <c r="AB52" s="9"/>
      <c r="AC52" s="9"/>
      <c r="AD52" s="9"/>
      <c r="AE52" s="9"/>
      <c r="AF52" s="46"/>
      <c r="AG52" s="46"/>
      <c r="AH52" s="9"/>
      <c r="AX52" s="3"/>
      <c r="AY52" s="3"/>
      <c r="BC52" s="5"/>
      <c r="BD52" s="5"/>
    </row>
    <row r="53" spans="1:56" ht="17.25" customHeight="1">
      <c r="A53" s="6"/>
      <c r="B53" s="80" t="s">
        <v>101</v>
      </c>
      <c r="C53" s="84" t="s">
        <v>102</v>
      </c>
      <c r="D53" s="84"/>
      <c r="E53" s="84"/>
      <c r="F53" s="84"/>
      <c r="G53" s="85"/>
      <c r="H53" s="86" t="s">
        <v>103</v>
      </c>
      <c r="I53" s="87">
        <v>35</v>
      </c>
      <c r="J53" s="86"/>
      <c r="K53" s="1854" t="s">
        <v>104</v>
      </c>
      <c r="L53" s="1855"/>
      <c r="M53" s="1855"/>
      <c r="N53" s="1855"/>
      <c r="O53" s="1856"/>
      <c r="P53" s="84"/>
      <c r="Q53" s="85"/>
      <c r="R53" s="85"/>
      <c r="S53" s="85"/>
      <c r="T53" s="77"/>
      <c r="U53" s="77"/>
      <c r="V53" s="77"/>
      <c r="W53" s="77"/>
      <c r="X53" s="77"/>
      <c r="Y53" s="77"/>
      <c r="Z53" s="77"/>
      <c r="AA53" s="77"/>
      <c r="AB53" s="46"/>
      <c r="AC53" s="46"/>
      <c r="AD53" s="46"/>
      <c r="AE53" s="104" t="s">
        <v>101</v>
      </c>
      <c r="AF53" s="105" t="s">
        <v>102</v>
      </c>
      <c r="AG53" s="105"/>
      <c r="AH53" s="105"/>
      <c r="AI53" s="105"/>
      <c r="AK53" s="106" t="s">
        <v>103</v>
      </c>
      <c r="AL53" s="106">
        <v>214</v>
      </c>
      <c r="AM53" s="106"/>
      <c r="AN53" s="1219" t="s">
        <v>104</v>
      </c>
      <c r="AO53" s="1220"/>
      <c r="AP53" s="1220"/>
      <c r="AQ53" s="1220"/>
      <c r="AR53" s="1221"/>
      <c r="AS53" s="105"/>
      <c r="AT53" s="107"/>
      <c r="AU53" s="107"/>
      <c r="AV53" s="107"/>
      <c r="AW53" s="9"/>
      <c r="AX53" s="9"/>
      <c r="AY53" s="3"/>
      <c r="BC53" s="5"/>
      <c r="BD53" s="5"/>
    </row>
    <row r="54" spans="1:56" ht="17.25" customHeight="1">
      <c r="A54" s="6"/>
      <c r="B54" s="81"/>
      <c r="C54" s="89" t="s">
        <v>105</v>
      </c>
      <c r="D54" s="84"/>
      <c r="E54" s="84"/>
      <c r="F54" s="84" t="s">
        <v>106</v>
      </c>
      <c r="G54" s="84"/>
      <c r="H54" s="84"/>
      <c r="I54" s="84"/>
      <c r="J54" s="84"/>
      <c r="K54" s="84"/>
      <c r="L54" s="84"/>
      <c r="M54" s="1850"/>
      <c r="N54" s="1850"/>
      <c r="O54" s="84"/>
      <c r="P54" s="84"/>
      <c r="Q54" s="90"/>
      <c r="R54" s="90"/>
      <c r="S54" s="90"/>
      <c r="T54" s="76"/>
      <c r="U54" s="76"/>
      <c r="V54" s="76"/>
      <c r="W54" s="76"/>
      <c r="X54" s="76"/>
      <c r="Y54" s="76"/>
      <c r="Z54" s="76"/>
      <c r="AA54" s="76"/>
      <c r="AB54" s="46"/>
      <c r="AC54" s="46"/>
      <c r="AD54" s="46"/>
      <c r="AE54" s="108"/>
      <c r="AF54" s="109" t="s">
        <v>105</v>
      </c>
      <c r="AG54" s="105"/>
      <c r="AH54" s="105"/>
      <c r="AI54" s="105" t="s">
        <v>106</v>
      </c>
      <c r="AJ54" s="105"/>
      <c r="AK54" s="105"/>
      <c r="AL54" s="105"/>
      <c r="AM54" s="105"/>
      <c r="AN54" s="105"/>
      <c r="AO54" s="105"/>
      <c r="AP54" s="1204"/>
      <c r="AQ54" s="1204"/>
      <c r="AR54" s="105"/>
      <c r="AS54" s="105"/>
      <c r="AT54" s="110"/>
      <c r="AU54" s="110"/>
      <c r="AV54" s="110"/>
      <c r="AW54" s="46"/>
      <c r="AX54" s="46"/>
      <c r="AY54" s="3"/>
      <c r="BC54" s="5"/>
      <c r="BD54" s="5"/>
    </row>
    <row r="55" spans="1:56" ht="17.25" customHeight="1">
      <c r="A55" s="6"/>
      <c r="B55" s="81"/>
      <c r="C55" s="86" t="s">
        <v>107</v>
      </c>
      <c r="D55" s="84" t="s">
        <v>108</v>
      </c>
      <c r="E55" s="84"/>
      <c r="F55" s="84"/>
      <c r="G55" s="84"/>
      <c r="H55" s="84" t="s">
        <v>109</v>
      </c>
      <c r="I55" s="84"/>
      <c r="J55" s="84"/>
      <c r="K55" s="84"/>
      <c r="L55" s="92" t="s">
        <v>110</v>
      </c>
      <c r="M55" s="93">
        <f>ROUND(I53/0.75,0)</f>
        <v>47</v>
      </c>
      <c r="N55" s="93"/>
      <c r="O55" s="84"/>
      <c r="P55" s="85" t="s">
        <v>111</v>
      </c>
      <c r="Q55" s="85"/>
      <c r="R55" s="84">
        <f>+M55/2</f>
        <v>23.5</v>
      </c>
      <c r="S55" s="85"/>
      <c r="T55" s="77"/>
      <c r="U55" s="77"/>
      <c r="V55" s="77"/>
      <c r="W55" s="77"/>
      <c r="X55" s="77"/>
      <c r="Y55" s="77"/>
      <c r="Z55" s="77"/>
      <c r="AA55" s="77"/>
      <c r="AB55" s="9"/>
      <c r="AC55" s="9"/>
      <c r="AD55" s="58"/>
      <c r="AE55" s="108"/>
      <c r="AF55" s="106" t="s">
        <v>107</v>
      </c>
      <c r="AG55" s="105" t="s">
        <v>108</v>
      </c>
      <c r="AH55" s="105"/>
      <c r="AI55" s="105"/>
      <c r="AJ55" s="105"/>
      <c r="AK55" s="105" t="s">
        <v>109</v>
      </c>
      <c r="AL55" s="105"/>
      <c r="AM55" s="105"/>
      <c r="AN55" s="105"/>
      <c r="AO55" s="111" t="s">
        <v>110</v>
      </c>
      <c r="AP55" s="112">
        <f>ROUND(AL53/0.75,0)</f>
        <v>285</v>
      </c>
      <c r="AQ55" s="112"/>
      <c r="AR55" s="105"/>
      <c r="AS55" s="3" t="s">
        <v>111</v>
      </c>
      <c r="AT55" s="107"/>
      <c r="AU55" s="105">
        <f>+AP55/2</f>
        <v>142.5</v>
      </c>
      <c r="AV55" s="107"/>
      <c r="AW55" s="9"/>
      <c r="AX55" s="9"/>
      <c r="AY55" s="3"/>
      <c r="BC55" s="5"/>
      <c r="BD55" s="5"/>
    </row>
    <row r="56" spans="1:56" ht="17.25" customHeight="1">
      <c r="A56" s="6"/>
      <c r="B56" s="81"/>
      <c r="C56" s="86" t="s">
        <v>107</v>
      </c>
      <c r="D56" s="84" t="s">
        <v>112</v>
      </c>
      <c r="E56" s="84"/>
      <c r="F56" s="84"/>
      <c r="G56" s="84"/>
      <c r="H56" s="84" t="s">
        <v>113</v>
      </c>
      <c r="I56" s="84"/>
      <c r="J56" s="84"/>
      <c r="K56" s="84"/>
      <c r="L56" s="92" t="s">
        <v>110</v>
      </c>
      <c r="M56" s="93">
        <f>ROUND(I53/0.82,0)</f>
        <v>43</v>
      </c>
      <c r="N56" s="93"/>
      <c r="O56" s="84"/>
      <c r="P56" s="85" t="s">
        <v>111</v>
      </c>
      <c r="Q56" s="94"/>
      <c r="R56" s="84">
        <f>+M56/2</f>
        <v>21.5</v>
      </c>
      <c r="S56" s="85"/>
      <c r="T56" s="77"/>
      <c r="U56" s="77"/>
      <c r="V56" s="77"/>
      <c r="W56" s="77"/>
      <c r="X56" s="77"/>
      <c r="Y56" s="77"/>
      <c r="Z56" s="77"/>
      <c r="AA56" s="77"/>
      <c r="AB56" s="9"/>
      <c r="AC56" s="58"/>
      <c r="AD56" s="9"/>
      <c r="AE56" s="108"/>
      <c r="AF56" s="106" t="s">
        <v>107</v>
      </c>
      <c r="AG56" s="105" t="s">
        <v>112</v>
      </c>
      <c r="AH56" s="105"/>
      <c r="AI56" s="105"/>
      <c r="AJ56" s="105"/>
      <c r="AK56" s="105" t="s">
        <v>113</v>
      </c>
      <c r="AL56" s="105"/>
      <c r="AM56" s="105"/>
      <c r="AN56" s="105"/>
      <c r="AO56" s="111" t="s">
        <v>110</v>
      </c>
      <c r="AP56" s="112">
        <f>ROUND(AL53/0.82,0)</f>
        <v>261</v>
      </c>
      <c r="AQ56" s="112"/>
      <c r="AR56" s="105"/>
      <c r="AS56" s="3" t="s">
        <v>111</v>
      </c>
      <c r="AT56" s="113"/>
      <c r="AU56" s="105">
        <f>+AP56/2</f>
        <v>130.5</v>
      </c>
      <c r="AV56" s="107"/>
      <c r="AW56" s="9"/>
      <c r="AX56" s="9"/>
      <c r="AY56" s="3"/>
      <c r="BC56" s="5"/>
      <c r="BD56" s="5"/>
    </row>
    <row r="57" spans="1:56" ht="17.25" customHeight="1">
      <c r="A57" s="6"/>
      <c r="B57" s="80" t="s">
        <v>101</v>
      </c>
      <c r="C57" s="86" t="s">
        <v>107</v>
      </c>
      <c r="D57" s="84" t="s">
        <v>114</v>
      </c>
      <c r="E57" s="84"/>
      <c r="F57" s="84"/>
      <c r="G57" s="84"/>
      <c r="H57" s="84" t="s">
        <v>115</v>
      </c>
      <c r="I57" s="84"/>
      <c r="J57" s="84"/>
      <c r="K57" s="84"/>
      <c r="L57" s="92" t="s">
        <v>110</v>
      </c>
      <c r="M57" s="93">
        <f>ROUND(4+I53/2,0)</f>
        <v>22</v>
      </c>
      <c r="N57" s="93"/>
      <c r="O57" s="84"/>
      <c r="P57" s="85" t="s">
        <v>111</v>
      </c>
      <c r="Q57" s="95"/>
      <c r="R57" s="84">
        <f>+M57/2</f>
        <v>11</v>
      </c>
      <c r="S57" s="96"/>
      <c r="T57" s="82"/>
      <c r="U57" s="82"/>
      <c r="V57" s="82"/>
      <c r="W57" s="82"/>
      <c r="X57" s="82"/>
      <c r="Y57" s="82"/>
      <c r="Z57" s="82"/>
      <c r="AA57" s="82"/>
      <c r="AB57" s="9"/>
      <c r="AC57" s="58"/>
      <c r="AD57" s="114"/>
      <c r="AE57" s="104" t="s">
        <v>101</v>
      </c>
      <c r="AF57" s="106" t="s">
        <v>107</v>
      </c>
      <c r="AG57" s="105" t="s">
        <v>114</v>
      </c>
      <c r="AH57" s="105"/>
      <c r="AI57" s="105"/>
      <c r="AJ57" s="105"/>
      <c r="AK57" s="105" t="s">
        <v>115</v>
      </c>
      <c r="AL57" s="105"/>
      <c r="AM57" s="105"/>
      <c r="AN57" s="105"/>
      <c r="AO57" s="111" t="s">
        <v>110</v>
      </c>
      <c r="AP57" s="112">
        <f>ROUND(4+AL53/2,0)</f>
        <v>111</v>
      </c>
      <c r="AQ57" s="112"/>
      <c r="AR57" s="105"/>
      <c r="AS57" s="3" t="s">
        <v>111</v>
      </c>
      <c r="AT57" s="115"/>
      <c r="AU57" s="105">
        <f>+AP57/2</f>
        <v>55.5</v>
      </c>
      <c r="AV57" s="116"/>
      <c r="AW57" s="97"/>
      <c r="AX57" s="97"/>
      <c r="AY57" s="3"/>
      <c r="BC57" s="5"/>
      <c r="BD57" s="5"/>
    </row>
    <row r="58" spans="1:56" ht="17.25" customHeight="1">
      <c r="A58" s="6"/>
      <c r="B58" s="85"/>
      <c r="C58" s="84" t="s">
        <v>413</v>
      </c>
      <c r="D58" s="84"/>
      <c r="E58" s="84"/>
      <c r="F58" s="84"/>
      <c r="G58" s="84"/>
      <c r="H58" s="84"/>
      <c r="I58" s="84"/>
      <c r="J58" s="84" t="s">
        <v>103</v>
      </c>
      <c r="K58" s="84"/>
      <c r="L58" s="84">
        <f>+R57</f>
        <v>11</v>
      </c>
      <c r="M58" s="89" t="s">
        <v>117</v>
      </c>
      <c r="N58" s="86"/>
      <c r="O58" s="84"/>
      <c r="P58" s="84" t="s">
        <v>410</v>
      </c>
      <c r="Q58" s="98"/>
      <c r="R58" s="85"/>
      <c r="S58" s="85"/>
      <c r="T58" s="77"/>
      <c r="U58" s="77"/>
      <c r="V58" s="77"/>
      <c r="W58" s="77"/>
      <c r="X58" s="77"/>
      <c r="Y58" s="77"/>
      <c r="Z58" s="99"/>
      <c r="AA58" s="99"/>
      <c r="AB58" s="9"/>
      <c r="AC58" s="58"/>
      <c r="AD58" s="114"/>
      <c r="AF58" s="105" t="s">
        <v>412</v>
      </c>
      <c r="AG58" s="105"/>
      <c r="AH58" s="105"/>
      <c r="AI58" s="105"/>
      <c r="AJ58" s="105"/>
      <c r="AK58" s="105"/>
      <c r="AL58" s="105"/>
      <c r="AM58" s="105" t="s">
        <v>103</v>
      </c>
      <c r="AN58" s="105"/>
      <c r="AO58" s="105">
        <f>+AU57</f>
        <v>55.5</v>
      </c>
      <c r="AP58" s="109" t="s">
        <v>117</v>
      </c>
      <c r="AQ58" s="106"/>
      <c r="AR58" s="105"/>
      <c r="AS58" s="105" t="s">
        <v>411</v>
      </c>
      <c r="AT58" s="117"/>
      <c r="AU58" s="107"/>
      <c r="AV58" s="107"/>
      <c r="AW58" s="9"/>
      <c r="AX58" s="100"/>
      <c r="AY58" s="3"/>
      <c r="BC58" s="5"/>
      <c r="BD58" s="5"/>
    </row>
    <row r="59" spans="1:56" ht="11.25" customHeight="1">
      <c r="A59" s="6"/>
      <c r="B59" s="85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9"/>
      <c r="N59" s="86"/>
      <c r="O59" s="84"/>
      <c r="P59" s="84"/>
      <c r="Q59" s="85"/>
      <c r="R59" s="85"/>
      <c r="S59" s="85"/>
      <c r="T59" s="77"/>
      <c r="U59" s="77"/>
      <c r="V59" s="77"/>
      <c r="W59" s="77"/>
      <c r="X59" s="77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X59" s="3"/>
      <c r="AY59" s="3"/>
      <c r="BC59" s="5"/>
      <c r="BD59" s="5"/>
    </row>
    <row r="60" spans="1:56" ht="17.25" customHeight="1">
      <c r="A60" s="6"/>
      <c r="B60" s="80" t="s">
        <v>118</v>
      </c>
      <c r="C60" s="84" t="s">
        <v>119</v>
      </c>
      <c r="D60" s="84"/>
      <c r="E60" s="84"/>
      <c r="F60" s="84"/>
      <c r="G60" s="84"/>
      <c r="H60" s="84"/>
      <c r="I60" s="84"/>
      <c r="J60" s="84"/>
      <c r="K60" s="84"/>
      <c r="L60" s="84"/>
      <c r="M60" s="89"/>
      <c r="N60" s="86"/>
      <c r="O60" s="84"/>
      <c r="P60" s="84"/>
      <c r="Q60" s="85"/>
      <c r="R60" s="85"/>
      <c r="S60" s="85"/>
      <c r="T60" s="77"/>
      <c r="U60" s="77"/>
      <c r="V60" s="77"/>
      <c r="W60" s="77"/>
      <c r="X60" s="77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X60" s="3"/>
      <c r="AY60" s="3"/>
      <c r="BC60" s="5"/>
      <c r="BD60" s="5"/>
    </row>
    <row r="61" spans="1:56" ht="17.25" customHeight="1">
      <c r="A61" s="6"/>
      <c r="B61" s="85"/>
      <c r="C61" s="84" t="s">
        <v>102</v>
      </c>
      <c r="D61" s="84"/>
      <c r="E61" s="84"/>
      <c r="F61" s="84"/>
      <c r="G61" s="85"/>
      <c r="H61" s="86" t="s">
        <v>103</v>
      </c>
      <c r="I61" s="87">
        <v>25</v>
      </c>
      <c r="J61" s="86"/>
      <c r="K61" s="1852" t="s">
        <v>104</v>
      </c>
      <c r="L61" s="1852"/>
      <c r="M61" s="1852"/>
      <c r="N61" s="1852"/>
      <c r="O61" s="1852"/>
      <c r="P61" s="84"/>
      <c r="Q61" s="85"/>
      <c r="R61" s="85"/>
      <c r="S61" s="85"/>
      <c r="T61" s="77"/>
      <c r="U61" s="77"/>
      <c r="V61" s="77"/>
      <c r="W61" s="77"/>
      <c r="X61" s="77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25" customHeight="1">
      <c r="A62" s="6"/>
      <c r="B62" s="80" t="s">
        <v>101</v>
      </c>
      <c r="C62" s="84" t="s">
        <v>120</v>
      </c>
      <c r="D62" s="84"/>
      <c r="E62" s="84"/>
      <c r="F62" s="84"/>
      <c r="G62" s="84"/>
      <c r="H62" s="84"/>
      <c r="I62" s="86" t="s">
        <v>103</v>
      </c>
      <c r="J62" s="1850">
        <f>MIN(M63:N67)</f>
        <v>34</v>
      </c>
      <c r="K62" s="1850"/>
      <c r="L62" s="84" t="s">
        <v>121</v>
      </c>
      <c r="M62" s="84"/>
      <c r="N62" s="84"/>
      <c r="O62" s="84"/>
      <c r="P62" s="84"/>
      <c r="Q62" s="85"/>
      <c r="R62" s="85"/>
      <c r="S62" s="85"/>
      <c r="T62" s="77"/>
      <c r="U62" s="77"/>
      <c r="V62" s="77"/>
      <c r="W62" s="77"/>
      <c r="X62" s="77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25" customHeight="1">
      <c r="A63" s="6"/>
      <c r="B63" s="81"/>
      <c r="C63" s="86" t="s">
        <v>107</v>
      </c>
      <c r="D63" s="84" t="s">
        <v>108</v>
      </c>
      <c r="E63" s="84"/>
      <c r="F63" s="84"/>
      <c r="G63" s="84"/>
      <c r="H63" s="84" t="s">
        <v>122</v>
      </c>
      <c r="I63" s="84"/>
      <c r="J63" s="84"/>
      <c r="K63" s="84"/>
      <c r="L63" s="84" t="s">
        <v>110</v>
      </c>
      <c r="M63" s="1850">
        <f>ROUND(SQRT(12*I61)+20,0)</f>
        <v>37</v>
      </c>
      <c r="N63" s="1850"/>
      <c r="O63" s="84"/>
      <c r="P63" s="84"/>
      <c r="Q63" s="85"/>
      <c r="R63" s="85"/>
      <c r="S63" s="85"/>
      <c r="T63" s="77"/>
      <c r="U63" s="77"/>
      <c r="V63" s="77"/>
      <c r="W63" s="77"/>
      <c r="X63" s="77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25" customHeight="1">
      <c r="A64" s="6"/>
      <c r="B64" s="81"/>
      <c r="C64" s="86" t="s">
        <v>107</v>
      </c>
      <c r="D64" s="84" t="s">
        <v>123</v>
      </c>
      <c r="E64" s="84"/>
      <c r="F64" s="84"/>
      <c r="G64" s="84"/>
      <c r="H64" s="84" t="s">
        <v>124</v>
      </c>
      <c r="I64" s="84"/>
      <c r="J64" s="84"/>
      <c r="K64" s="84"/>
      <c r="L64" s="84" t="s">
        <v>110</v>
      </c>
      <c r="M64" s="1850">
        <f>ROUND(0.25*I61+32.5,0)</f>
        <v>39</v>
      </c>
      <c r="N64" s="1850"/>
      <c r="O64" s="84"/>
      <c r="P64" s="84"/>
      <c r="Q64" s="85"/>
      <c r="R64" s="85"/>
      <c r="S64" s="85"/>
      <c r="T64" s="77"/>
      <c r="U64" s="77"/>
      <c r="V64" s="77"/>
      <c r="W64" s="77"/>
      <c r="X64" s="77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25" customHeight="1">
      <c r="A65" s="6"/>
      <c r="B65" s="81"/>
      <c r="C65" s="86" t="s">
        <v>107</v>
      </c>
      <c r="D65" s="84" t="s">
        <v>125</v>
      </c>
      <c r="E65" s="84"/>
      <c r="F65" s="84"/>
      <c r="G65" s="84"/>
      <c r="H65" s="84" t="s">
        <v>126</v>
      </c>
      <c r="I65" s="84"/>
      <c r="J65" s="84"/>
      <c r="K65" s="84"/>
      <c r="L65" s="84" t="s">
        <v>110</v>
      </c>
      <c r="M65" s="1850">
        <f>ROUND(0.3*I61+27,0)</f>
        <v>35</v>
      </c>
      <c r="N65" s="1850"/>
      <c r="O65" s="84"/>
      <c r="P65" s="84"/>
      <c r="Q65" s="85"/>
      <c r="R65" s="85"/>
      <c r="S65" s="85"/>
      <c r="T65" s="77"/>
      <c r="U65" s="77"/>
      <c r="V65" s="77"/>
      <c r="W65" s="77"/>
      <c r="X65" s="77"/>
      <c r="Y65" s="77"/>
      <c r="Z65" s="99"/>
      <c r="AA65" s="99"/>
      <c r="AB65" s="9"/>
      <c r="AC65" s="58"/>
      <c r="AD65" s="114"/>
      <c r="AE65" s="114"/>
      <c r="AF65" s="114"/>
      <c r="AG65" s="2"/>
      <c r="AH65" s="9"/>
      <c r="AX65" s="3"/>
      <c r="AY65" s="3"/>
      <c r="BC65" s="5"/>
      <c r="BD65" s="5"/>
    </row>
    <row r="66" spans="1:56" ht="21" customHeight="1">
      <c r="A66" s="6"/>
      <c r="B66" s="81"/>
      <c r="C66" s="86" t="s">
        <v>107</v>
      </c>
      <c r="D66" s="84" t="s">
        <v>114</v>
      </c>
      <c r="E66" s="84"/>
      <c r="F66" s="84"/>
      <c r="G66" s="84"/>
      <c r="H66" s="84" t="s">
        <v>127</v>
      </c>
      <c r="I66" s="84"/>
      <c r="J66" s="84"/>
      <c r="K66" s="84"/>
      <c r="L66" s="84" t="s">
        <v>110</v>
      </c>
      <c r="M66" s="1850">
        <f>ROUND(SQRT(20*I61)+15,0)</f>
        <v>37</v>
      </c>
      <c r="N66" s="1850"/>
      <c r="O66" s="84"/>
      <c r="P66" s="84"/>
      <c r="Q66" s="85"/>
      <c r="R66" s="85"/>
      <c r="S66" s="85"/>
      <c r="T66" s="77"/>
      <c r="U66" s="77"/>
      <c r="V66" s="77"/>
      <c r="W66" s="77"/>
      <c r="X66" s="77"/>
      <c r="Y66" s="77"/>
      <c r="Z66" s="99"/>
      <c r="AA66" s="99"/>
      <c r="AB66" s="9"/>
      <c r="AC66" s="58"/>
      <c r="AD66" s="114"/>
      <c r="AE66" s="114"/>
      <c r="AF66" s="114"/>
      <c r="AG66" s="2"/>
      <c r="AH66" s="9"/>
      <c r="AX66" s="3"/>
      <c r="AY66" s="3"/>
      <c r="BC66" s="5"/>
      <c r="BD66" s="5"/>
    </row>
    <row r="67" spans="1:56" ht="21" customHeight="1">
      <c r="A67" s="6"/>
      <c r="B67" s="81"/>
      <c r="C67" s="86" t="s">
        <v>107</v>
      </c>
      <c r="D67" s="84" t="s">
        <v>128</v>
      </c>
      <c r="E67" s="84"/>
      <c r="F67" s="84"/>
      <c r="G67" s="84"/>
      <c r="H67" s="84" t="s">
        <v>129</v>
      </c>
      <c r="I67" s="84"/>
      <c r="J67" s="84"/>
      <c r="K67" s="84"/>
      <c r="L67" s="84" t="s">
        <v>110</v>
      </c>
      <c r="M67" s="1850">
        <f>ROUND(SQRT(15*I61)+15,0)</f>
        <v>34</v>
      </c>
      <c r="N67" s="1850"/>
      <c r="O67" s="84"/>
      <c r="P67" s="84"/>
      <c r="Q67" s="85"/>
      <c r="R67" s="85"/>
      <c r="S67" s="85"/>
      <c r="T67" s="77"/>
      <c r="U67" s="77"/>
      <c r="V67" s="77"/>
      <c r="W67" s="77"/>
      <c r="X67" s="77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5"/>
      <c r="BD67" s="5"/>
    </row>
    <row r="68" spans="1:56" ht="21" customHeight="1">
      <c r="A68" s="6"/>
      <c r="B68" s="85"/>
      <c r="C68" s="84" t="s">
        <v>130</v>
      </c>
      <c r="D68" s="84"/>
      <c r="E68" s="84"/>
      <c r="F68" s="84"/>
      <c r="G68" s="84"/>
      <c r="H68" s="84"/>
      <c r="I68" s="84"/>
      <c r="J68" s="84" t="s">
        <v>103</v>
      </c>
      <c r="K68" s="84"/>
      <c r="L68" s="84">
        <f>+M67</f>
        <v>34</v>
      </c>
      <c r="M68" s="121" t="s">
        <v>131</v>
      </c>
      <c r="N68" s="86"/>
      <c r="O68" s="84"/>
      <c r="P68" s="84" t="s">
        <v>395</v>
      </c>
      <c r="Q68" s="98"/>
      <c r="R68" s="85"/>
      <c r="S68" s="85"/>
      <c r="T68" s="77"/>
      <c r="U68" s="77"/>
      <c r="V68" s="77"/>
      <c r="W68" s="77"/>
      <c r="X68" s="77"/>
      <c r="Y68" s="77"/>
      <c r="Z68" s="99"/>
      <c r="AA68" s="99"/>
      <c r="AB68" s="9"/>
      <c r="AC68" s="119"/>
      <c r="AD68" s="120"/>
      <c r="AE68" s="120"/>
      <c r="AF68" s="120"/>
      <c r="AG68" s="77"/>
      <c r="AH68" s="77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5"/>
      <c r="BD68" s="5"/>
    </row>
    <row r="69" spans="1:56" ht="12.75" hidden="1" customHeight="1">
      <c r="A69" s="6"/>
      <c r="B69" s="85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9"/>
      <c r="N69" s="86"/>
      <c r="O69" s="84"/>
      <c r="P69" s="84"/>
      <c r="Q69" s="85"/>
      <c r="R69" s="85"/>
      <c r="S69" s="85"/>
      <c r="T69" s="77"/>
      <c r="U69" s="77"/>
      <c r="V69" s="77"/>
      <c r="W69" s="77"/>
      <c r="X69" s="77"/>
      <c r="Y69" s="77"/>
      <c r="Z69" s="99"/>
      <c r="AA69" s="99"/>
      <c r="AB69" s="9"/>
      <c r="AC69" s="119"/>
      <c r="AD69" s="120"/>
      <c r="AE69" s="120"/>
      <c r="AF69" s="120"/>
      <c r="AG69" s="77"/>
      <c r="AH69" s="77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6" hidden="1" customHeight="1">
      <c r="A70" s="6"/>
      <c r="B70" s="85"/>
      <c r="C70" s="84" t="s">
        <v>102</v>
      </c>
      <c r="D70" s="84"/>
      <c r="E70" s="84"/>
      <c r="F70" s="84"/>
      <c r="G70" s="85"/>
      <c r="H70" s="86" t="s">
        <v>103</v>
      </c>
      <c r="I70" s="86">
        <v>25</v>
      </c>
      <c r="J70" s="86"/>
      <c r="K70" s="1852" t="s">
        <v>132</v>
      </c>
      <c r="L70" s="1852"/>
      <c r="M70" s="1852"/>
      <c r="N70" s="1852"/>
      <c r="O70" s="1852"/>
      <c r="P70" s="84"/>
      <c r="Q70" s="85"/>
      <c r="R70" s="85"/>
      <c r="S70" s="85"/>
      <c r="T70" s="77"/>
      <c r="U70" s="77"/>
      <c r="V70" s="77"/>
      <c r="W70" s="77"/>
      <c r="X70" s="77"/>
      <c r="Y70" s="77"/>
      <c r="Z70" s="99"/>
      <c r="AA70" s="99"/>
      <c r="AB70" s="9"/>
      <c r="AC70" s="119"/>
      <c r="AD70" s="120"/>
      <c r="AE70" s="120"/>
      <c r="AF70" s="84" t="s">
        <v>102</v>
      </c>
      <c r="AG70" s="84"/>
      <c r="AH70" s="84"/>
      <c r="AI70" s="84"/>
      <c r="AJ70" s="85"/>
      <c r="AK70" s="86" t="s">
        <v>103</v>
      </c>
      <c r="AL70" s="86">
        <v>40</v>
      </c>
      <c r="AM70" s="86"/>
      <c r="AN70" s="1852" t="s">
        <v>132</v>
      </c>
      <c r="AO70" s="1852"/>
      <c r="AP70" s="1852"/>
      <c r="AQ70" s="1852"/>
      <c r="AR70" s="1852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8.25" customHeight="1">
      <c r="A71" s="6"/>
      <c r="B71" s="85"/>
      <c r="C71" s="84"/>
      <c r="D71" s="84"/>
      <c r="E71" s="84"/>
      <c r="F71" s="84"/>
      <c r="G71" s="85"/>
      <c r="H71" s="86"/>
      <c r="I71" s="86"/>
      <c r="J71" s="86"/>
      <c r="K71" s="118"/>
      <c r="L71" s="118"/>
      <c r="M71" s="118"/>
      <c r="N71" s="118"/>
      <c r="O71" s="118"/>
      <c r="P71" s="84"/>
      <c r="Q71" s="85"/>
      <c r="R71" s="85"/>
      <c r="S71" s="85"/>
      <c r="T71" s="77"/>
      <c r="U71" s="77"/>
      <c r="V71" s="77"/>
      <c r="W71" s="77"/>
      <c r="X71" s="77"/>
      <c r="Y71" s="77"/>
      <c r="Z71" s="99"/>
      <c r="AA71" s="99"/>
      <c r="AB71" s="9"/>
      <c r="AC71" s="119"/>
      <c r="AD71" s="120"/>
      <c r="AE71" s="120"/>
      <c r="AF71" s="84"/>
      <c r="AG71" s="84"/>
      <c r="AH71" s="84"/>
      <c r="AI71" s="84"/>
      <c r="AJ71" s="85"/>
      <c r="AK71" s="86"/>
      <c r="AL71" s="86"/>
      <c r="AM71" s="86"/>
      <c r="AN71" s="118"/>
      <c r="AO71" s="118"/>
      <c r="AP71" s="118"/>
      <c r="AQ71" s="118"/>
      <c r="AR71" s="118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8" customHeight="1">
      <c r="A72" s="6"/>
      <c r="B72" s="85"/>
      <c r="C72" s="84" t="s">
        <v>102</v>
      </c>
      <c r="D72" s="84"/>
      <c r="E72" s="84"/>
      <c r="F72" s="84"/>
      <c r="G72" s="85"/>
      <c r="H72" s="86" t="s">
        <v>103</v>
      </c>
      <c r="I72" s="87">
        <v>35</v>
      </c>
      <c r="J72" s="86"/>
      <c r="K72" s="1852" t="s">
        <v>104</v>
      </c>
      <c r="L72" s="1852"/>
      <c r="M72" s="1852"/>
      <c r="N72" s="1852"/>
      <c r="O72" s="1852"/>
      <c r="P72" s="84"/>
      <c r="Q72" s="85"/>
      <c r="R72" s="85"/>
      <c r="S72" s="85"/>
      <c r="T72" s="77"/>
      <c r="U72" s="77"/>
      <c r="V72" s="77"/>
      <c r="W72" s="77"/>
      <c r="X72" s="77"/>
      <c r="Y72" s="77"/>
      <c r="Z72" s="99"/>
      <c r="AA72" s="99"/>
      <c r="AB72" s="9"/>
      <c r="AC72" s="119"/>
      <c r="AD72" s="120"/>
      <c r="AE72" s="120"/>
      <c r="AF72" s="84" t="s">
        <v>102</v>
      </c>
      <c r="AG72" s="84"/>
      <c r="AH72" s="84"/>
      <c r="AI72" s="84"/>
      <c r="AJ72" s="85"/>
      <c r="AK72" s="86" t="s">
        <v>103</v>
      </c>
      <c r="AL72" s="87">
        <v>214</v>
      </c>
      <c r="AM72" s="86"/>
      <c r="AN72" s="1852" t="s">
        <v>104</v>
      </c>
      <c r="AO72" s="1852"/>
      <c r="AP72" s="1852"/>
      <c r="AQ72" s="1852"/>
      <c r="AR72" s="1852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25" customHeight="1">
      <c r="A73" s="6"/>
      <c r="B73" s="80" t="s">
        <v>101</v>
      </c>
      <c r="C73" s="84" t="s">
        <v>120</v>
      </c>
      <c r="D73" s="84"/>
      <c r="E73" s="84"/>
      <c r="F73" s="84"/>
      <c r="G73" s="84"/>
      <c r="H73" s="84"/>
      <c r="I73" s="86" t="s">
        <v>103</v>
      </c>
      <c r="J73" s="1850">
        <f>MIN(M74:N78)</f>
        <v>38</v>
      </c>
      <c r="K73" s="1850"/>
      <c r="L73" s="84" t="s">
        <v>121</v>
      </c>
      <c r="M73" s="84"/>
      <c r="N73" s="84"/>
      <c r="O73" s="84"/>
      <c r="P73" s="84"/>
      <c r="Q73" s="85"/>
      <c r="R73" s="85"/>
      <c r="S73" s="85"/>
      <c r="T73" s="77"/>
      <c r="U73" s="77"/>
      <c r="V73" s="77"/>
      <c r="W73" s="77"/>
      <c r="X73" s="77"/>
      <c r="Y73" s="77"/>
      <c r="Z73" s="99"/>
      <c r="AA73" s="99"/>
      <c r="AB73" s="9"/>
      <c r="AC73" s="119"/>
      <c r="AD73" s="120"/>
      <c r="AE73" s="80" t="s">
        <v>101</v>
      </c>
      <c r="AF73" s="84" t="s">
        <v>120</v>
      </c>
      <c r="AG73" s="84"/>
      <c r="AH73" s="84"/>
      <c r="AI73" s="84"/>
      <c r="AJ73" s="84"/>
      <c r="AK73" s="84"/>
      <c r="AL73" s="86" t="s">
        <v>103</v>
      </c>
      <c r="AM73" s="1850">
        <v>40</v>
      </c>
      <c r="AN73" s="1850"/>
      <c r="AO73" s="84" t="s">
        <v>121</v>
      </c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20.25" customHeight="1">
      <c r="A74" s="6"/>
      <c r="B74" s="81"/>
      <c r="C74" s="86" t="s">
        <v>107</v>
      </c>
      <c r="D74" s="84" t="s">
        <v>108</v>
      </c>
      <c r="E74" s="84"/>
      <c r="F74" s="84"/>
      <c r="G74" s="84"/>
      <c r="H74" s="84" t="s">
        <v>122</v>
      </c>
      <c r="I74" s="84"/>
      <c r="J74" s="84"/>
      <c r="K74" s="84"/>
      <c r="L74" s="84" t="s">
        <v>110</v>
      </c>
      <c r="M74" s="1850">
        <f>ROUND(SQRT(12*I72)+20,0)</f>
        <v>40</v>
      </c>
      <c r="N74" s="1850"/>
      <c r="O74" s="84"/>
      <c r="P74" s="84"/>
      <c r="Q74" s="85"/>
      <c r="R74" s="85"/>
      <c r="S74" s="85"/>
      <c r="T74" s="77"/>
      <c r="U74" s="77"/>
      <c r="V74" s="77"/>
      <c r="W74" s="77"/>
      <c r="X74" s="77"/>
      <c r="Y74" s="77"/>
      <c r="Z74" s="99"/>
      <c r="AA74" s="99"/>
      <c r="AB74" s="9"/>
      <c r="AC74" s="119"/>
      <c r="AD74" s="120"/>
      <c r="AE74" s="81"/>
      <c r="AF74" s="86" t="s">
        <v>107</v>
      </c>
      <c r="AG74" s="84" t="s">
        <v>108</v>
      </c>
      <c r="AH74" s="84"/>
      <c r="AI74" s="84"/>
      <c r="AJ74" s="84"/>
      <c r="AK74" s="84" t="s">
        <v>122</v>
      </c>
      <c r="AL74" s="84"/>
      <c r="AM74" s="84"/>
      <c r="AN74" s="84"/>
      <c r="AO74" s="84" t="s">
        <v>110</v>
      </c>
      <c r="AP74" s="1850">
        <f>ROUND(SQRT(12*AL72)+20,0)</f>
        <v>71</v>
      </c>
      <c r="AQ74" s="1850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25" customHeight="1">
      <c r="A75" s="6"/>
      <c r="B75" s="81"/>
      <c r="C75" s="86" t="s">
        <v>107</v>
      </c>
      <c r="D75" s="84" t="s">
        <v>123</v>
      </c>
      <c r="E75" s="84"/>
      <c r="F75" s="84"/>
      <c r="G75" s="84"/>
      <c r="H75" s="84" t="s">
        <v>124</v>
      </c>
      <c r="I75" s="84"/>
      <c r="J75" s="84"/>
      <c r="K75" s="84"/>
      <c r="L75" s="84" t="s">
        <v>110</v>
      </c>
      <c r="M75" s="1850">
        <f>ROUND(0.25*I72+32.5,0)</f>
        <v>41</v>
      </c>
      <c r="N75" s="1850"/>
      <c r="O75" s="84"/>
      <c r="P75" s="84"/>
      <c r="Q75" s="85"/>
      <c r="R75" s="85"/>
      <c r="S75" s="85"/>
      <c r="T75" s="77"/>
      <c r="U75" s="77"/>
      <c r="V75" s="77"/>
      <c r="W75" s="77"/>
      <c r="X75" s="77"/>
      <c r="Y75" s="77"/>
      <c r="Z75" s="99"/>
      <c r="AA75" s="99"/>
      <c r="AB75" s="9"/>
      <c r="AC75" s="119"/>
      <c r="AD75" s="120"/>
      <c r="AE75" s="81"/>
      <c r="AF75" s="86" t="s">
        <v>107</v>
      </c>
      <c r="AG75" s="84" t="s">
        <v>123</v>
      </c>
      <c r="AH75" s="84"/>
      <c r="AI75" s="84"/>
      <c r="AJ75" s="84"/>
      <c r="AK75" s="84" t="s">
        <v>124</v>
      </c>
      <c r="AL75" s="84"/>
      <c r="AM75" s="84"/>
      <c r="AN75" s="84"/>
      <c r="AO75" s="84" t="s">
        <v>110</v>
      </c>
      <c r="AP75" s="1850">
        <f>ROUND(0.25*AL72+32.5,0)</f>
        <v>86</v>
      </c>
      <c r="AQ75" s="1850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22.5" customHeight="1">
      <c r="A76" s="6"/>
      <c r="B76" s="81"/>
      <c r="C76" s="86" t="s">
        <v>107</v>
      </c>
      <c r="D76" s="84" t="s">
        <v>125</v>
      </c>
      <c r="E76" s="84"/>
      <c r="F76" s="84"/>
      <c r="G76" s="84"/>
      <c r="H76" s="84" t="s">
        <v>126</v>
      </c>
      <c r="I76" s="84"/>
      <c r="J76" s="84"/>
      <c r="K76" s="84"/>
      <c r="L76" s="84" t="s">
        <v>110</v>
      </c>
      <c r="M76" s="1850">
        <f>ROUND(0.3*I72+27,0)</f>
        <v>38</v>
      </c>
      <c r="N76" s="1850"/>
      <c r="O76" s="84"/>
      <c r="P76" s="84"/>
      <c r="Q76" s="85"/>
      <c r="R76" s="85"/>
      <c r="S76" s="85"/>
      <c r="T76" s="77"/>
      <c r="U76" s="77"/>
      <c r="V76" s="77"/>
      <c r="W76" s="77"/>
      <c r="X76" s="77"/>
      <c r="Y76" s="77"/>
      <c r="Z76" s="99"/>
      <c r="AA76" s="99"/>
      <c r="AB76" s="9"/>
      <c r="AC76" s="119"/>
      <c r="AD76" s="120"/>
      <c r="AE76" s="81"/>
      <c r="AF76" s="86" t="s">
        <v>107</v>
      </c>
      <c r="AG76" s="84" t="s">
        <v>125</v>
      </c>
      <c r="AH76" s="84"/>
      <c r="AI76" s="84"/>
      <c r="AJ76" s="84"/>
      <c r="AK76" s="84" t="s">
        <v>126</v>
      </c>
      <c r="AL76" s="84"/>
      <c r="AM76" s="84"/>
      <c r="AN76" s="84"/>
      <c r="AO76" s="84" t="s">
        <v>110</v>
      </c>
      <c r="AP76" s="1850">
        <f>ROUND(0.3*AL72+27,0)</f>
        <v>91</v>
      </c>
      <c r="AQ76" s="1850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22.5" customHeight="1">
      <c r="A77" s="6"/>
      <c r="B77" s="81"/>
      <c r="C77" s="86" t="s">
        <v>107</v>
      </c>
      <c r="D77" s="84" t="s">
        <v>114</v>
      </c>
      <c r="E77" s="84"/>
      <c r="F77" s="84"/>
      <c r="G77" s="84"/>
      <c r="H77" s="84" t="s">
        <v>127</v>
      </c>
      <c r="I77" s="84"/>
      <c r="J77" s="84"/>
      <c r="K77" s="84"/>
      <c r="L77" s="84" t="s">
        <v>110</v>
      </c>
      <c r="M77" s="1850">
        <f>ROUND(SQRT(20*I72)+15,0)</f>
        <v>41</v>
      </c>
      <c r="N77" s="1850"/>
      <c r="O77" s="84"/>
      <c r="P77" s="84"/>
      <c r="Q77" s="85"/>
      <c r="R77" s="85"/>
      <c r="S77" s="85"/>
      <c r="T77" s="77"/>
      <c r="U77" s="77"/>
      <c r="V77" s="77"/>
      <c r="W77" s="77"/>
      <c r="X77" s="77"/>
      <c r="Y77" s="77"/>
      <c r="Z77" s="99"/>
      <c r="AA77" s="99"/>
      <c r="AB77" s="9"/>
      <c r="AC77" s="119"/>
      <c r="AD77" s="120"/>
      <c r="AE77" s="81"/>
      <c r="AF77" s="86" t="s">
        <v>107</v>
      </c>
      <c r="AG77" s="84" t="s">
        <v>114</v>
      </c>
      <c r="AH77" s="84"/>
      <c r="AI77" s="84"/>
      <c r="AJ77" s="84"/>
      <c r="AK77" s="84" t="s">
        <v>127</v>
      </c>
      <c r="AL77" s="84"/>
      <c r="AM77" s="84"/>
      <c r="AN77" s="84"/>
      <c r="AO77" s="84" t="s">
        <v>110</v>
      </c>
      <c r="AP77" s="1850">
        <f>ROUND(SQRT(20*AL72)+15,0)</f>
        <v>80</v>
      </c>
      <c r="AQ77" s="1850"/>
      <c r="AR77" s="84"/>
      <c r="AS77" s="84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21" customHeight="1">
      <c r="A78" s="6"/>
      <c r="B78" s="81"/>
      <c r="C78" s="86" t="s">
        <v>107</v>
      </c>
      <c r="D78" s="84" t="s">
        <v>128</v>
      </c>
      <c r="E78" s="84"/>
      <c r="F78" s="84"/>
      <c r="G78" s="84"/>
      <c r="H78" s="84" t="s">
        <v>129</v>
      </c>
      <c r="I78" s="84"/>
      <c r="J78" s="84"/>
      <c r="K78" s="84"/>
      <c r="L78" s="84" t="s">
        <v>110</v>
      </c>
      <c r="M78" s="1850">
        <f>ROUND(SQRT(15*I72)+15,0)</f>
        <v>38</v>
      </c>
      <c r="N78" s="1850"/>
      <c r="O78" s="84"/>
      <c r="P78" s="84"/>
      <c r="Q78" s="85"/>
      <c r="R78" s="85"/>
      <c r="S78" s="85"/>
      <c r="T78" s="77"/>
      <c r="U78" s="77"/>
      <c r="V78" s="77"/>
      <c r="W78" s="77"/>
      <c r="X78" s="77"/>
      <c r="Y78" s="77"/>
      <c r="Z78" s="99"/>
      <c r="AA78" s="99"/>
      <c r="AB78" s="9"/>
      <c r="AC78" s="119"/>
      <c r="AD78" s="120"/>
      <c r="AE78" s="81"/>
      <c r="AF78" s="86" t="s">
        <v>107</v>
      </c>
      <c r="AG78" s="84" t="s">
        <v>128</v>
      </c>
      <c r="AH78" s="84"/>
      <c r="AI78" s="84"/>
      <c r="AJ78" s="84"/>
      <c r="AK78" s="84" t="s">
        <v>129</v>
      </c>
      <c r="AL78" s="84"/>
      <c r="AM78" s="84"/>
      <c r="AN78" s="84"/>
      <c r="AO78" s="84" t="s">
        <v>110</v>
      </c>
      <c r="AP78" s="1850">
        <f>ROUND(SQRT(15*AL72)+15,0)</f>
        <v>72</v>
      </c>
      <c r="AQ78" s="1850"/>
      <c r="AR78" s="84"/>
      <c r="AS78" s="84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21" customHeight="1">
      <c r="A79" s="6"/>
      <c r="B79" s="85"/>
      <c r="C79" s="84" t="s">
        <v>133</v>
      </c>
      <c r="D79" s="84"/>
      <c r="E79" s="84"/>
      <c r="F79" s="84"/>
      <c r="G79" s="84"/>
      <c r="H79" s="84"/>
      <c r="I79" s="84"/>
      <c r="J79" s="84" t="s">
        <v>103</v>
      </c>
      <c r="K79" s="84"/>
      <c r="L79" s="84">
        <f>+M78</f>
        <v>38</v>
      </c>
      <c r="M79" s="121" t="s">
        <v>131</v>
      </c>
      <c r="N79" s="86"/>
      <c r="O79" s="84"/>
      <c r="P79" s="84" t="s">
        <v>134</v>
      </c>
      <c r="Q79" s="98"/>
      <c r="R79" s="85"/>
      <c r="S79" s="85"/>
      <c r="T79" s="77"/>
      <c r="U79" s="77"/>
      <c r="V79" s="77"/>
      <c r="W79" s="77"/>
      <c r="X79" s="77"/>
      <c r="Y79" s="77"/>
      <c r="Z79" s="99"/>
      <c r="AA79" s="99"/>
      <c r="AB79" s="9"/>
      <c r="AC79" s="119"/>
      <c r="AD79" s="120"/>
      <c r="AE79" s="85"/>
      <c r="AF79" s="84" t="s">
        <v>135</v>
      </c>
      <c r="AG79" s="84"/>
      <c r="AH79" s="84"/>
      <c r="AI79" s="84"/>
      <c r="AJ79" s="84"/>
      <c r="AK79" s="84"/>
      <c r="AL79" s="84"/>
      <c r="AM79" s="84" t="s">
        <v>103</v>
      </c>
      <c r="AN79" s="84"/>
      <c r="AO79" s="84">
        <f>+AP78</f>
        <v>72</v>
      </c>
      <c r="AP79" s="121" t="s">
        <v>131</v>
      </c>
      <c r="AQ79" s="86"/>
      <c r="AR79" s="84"/>
      <c r="AS79" s="84" t="s">
        <v>136</v>
      </c>
      <c r="AT79" s="98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9.75" customHeight="1">
      <c r="A80" s="6"/>
      <c r="B80" s="85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9"/>
      <c r="N80" s="86"/>
      <c r="O80" s="84"/>
      <c r="P80" s="84"/>
      <c r="Q80" s="85"/>
      <c r="R80" s="85"/>
      <c r="S80" s="85"/>
      <c r="T80" s="77"/>
      <c r="U80" s="77"/>
      <c r="V80" s="77"/>
      <c r="W80" s="77"/>
      <c r="X80" s="77"/>
      <c r="Y80" s="77"/>
      <c r="Z80" s="99"/>
      <c r="AA80" s="99"/>
      <c r="AB80" s="9"/>
      <c r="AC80" s="119"/>
      <c r="AD80" s="120"/>
      <c r="AE80" s="120"/>
      <c r="AF80" s="120"/>
      <c r="AG80" s="77"/>
      <c r="AH80" s="77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4" ht="21" customHeight="1">
      <c r="A81" s="6"/>
      <c r="B81" s="90" t="s">
        <v>137</v>
      </c>
      <c r="C81" s="122" t="s">
        <v>398</v>
      </c>
      <c r="D81" s="81"/>
      <c r="E81" s="81"/>
      <c r="F81" s="81"/>
      <c r="G81" s="81"/>
      <c r="H81" s="81"/>
      <c r="I81" s="81"/>
      <c r="J81" s="81"/>
      <c r="K81" s="81"/>
      <c r="L81" s="123"/>
      <c r="M81" s="124"/>
      <c r="N81" s="80"/>
      <c r="O81" s="81"/>
      <c r="P81" s="81"/>
      <c r="Q81" s="77"/>
      <c r="R81" s="77"/>
      <c r="S81" s="77"/>
      <c r="T81" s="77"/>
      <c r="U81" s="99"/>
      <c r="V81" s="99"/>
      <c r="W81" s="77"/>
      <c r="X81" s="119"/>
      <c r="Y81" s="120"/>
      <c r="Z81" s="120"/>
      <c r="AA81" s="120"/>
      <c r="AB81" s="2"/>
      <c r="AC81" s="77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125"/>
      <c r="AY81" s="125"/>
      <c r="AZ81" s="85"/>
      <c r="BA81" s="85"/>
      <c r="BB81" s="85"/>
    </row>
    <row r="82" spans="1:54" ht="17.25" customHeight="1">
      <c r="A82" s="6"/>
      <c r="B82" s="80" t="s">
        <v>101</v>
      </c>
      <c r="C82" s="81" t="s">
        <v>399</v>
      </c>
      <c r="D82" s="81"/>
      <c r="E82" s="81"/>
      <c r="F82" s="81"/>
      <c r="G82" s="81"/>
      <c r="H82" s="81"/>
      <c r="I82" s="81"/>
      <c r="J82" s="126" t="s">
        <v>138</v>
      </c>
      <c r="K82" s="81"/>
      <c r="L82" s="85"/>
      <c r="M82" s="124"/>
      <c r="N82" s="80"/>
      <c r="O82" s="81"/>
      <c r="P82" s="81"/>
      <c r="Q82" s="77"/>
      <c r="R82" s="77"/>
      <c r="S82" s="77"/>
      <c r="T82" s="77"/>
      <c r="U82" s="99"/>
      <c r="V82" s="99"/>
      <c r="W82" s="77"/>
      <c r="X82" s="119"/>
      <c r="Y82" s="120"/>
      <c r="Z82" s="120"/>
      <c r="AA82" s="120"/>
      <c r="AB82" s="2"/>
      <c r="AC82" s="77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125"/>
      <c r="AY82" s="125"/>
      <c r="AZ82" s="85"/>
      <c r="BA82" s="85"/>
      <c r="BB82" s="85"/>
    </row>
    <row r="83" spans="1:54" ht="16.5" customHeight="1">
      <c r="A83" s="6"/>
      <c r="B83" s="85"/>
      <c r="C83" s="81"/>
      <c r="D83" s="81"/>
      <c r="E83" s="81"/>
      <c r="F83" s="81"/>
      <c r="G83" s="81"/>
      <c r="H83" s="81"/>
      <c r="I83" s="81"/>
      <c r="J83" s="81" t="s">
        <v>139</v>
      </c>
      <c r="K83" s="81"/>
      <c r="L83" s="123"/>
      <c r="M83" s="124"/>
      <c r="N83" s="80"/>
      <c r="O83" s="81"/>
      <c r="P83" s="81"/>
      <c r="Q83" s="77"/>
      <c r="R83" s="77"/>
      <c r="S83" s="77"/>
      <c r="T83" s="77"/>
      <c r="U83" s="99"/>
      <c r="V83" s="99"/>
      <c r="W83" s="77"/>
      <c r="X83" s="119"/>
      <c r="Y83" s="120"/>
      <c r="Z83" s="120"/>
      <c r="AA83" s="120"/>
      <c r="AB83" s="2"/>
      <c r="AC83" s="9"/>
    </row>
    <row r="84" spans="1:54" ht="12.75" customHeight="1">
      <c r="A84" s="6"/>
      <c r="B84" s="85"/>
      <c r="C84" s="81"/>
      <c r="D84" s="81"/>
      <c r="E84" s="81"/>
      <c r="F84" s="81"/>
      <c r="G84" s="81"/>
      <c r="H84" s="81"/>
      <c r="I84" s="81"/>
      <c r="J84" s="81"/>
      <c r="K84" s="81"/>
      <c r="L84" s="123"/>
      <c r="M84" s="124"/>
      <c r="N84" s="80"/>
      <c r="O84" s="81"/>
      <c r="P84" s="81"/>
      <c r="Q84" s="77"/>
      <c r="R84" s="77"/>
      <c r="S84" s="77"/>
      <c r="T84" s="77"/>
      <c r="U84" s="99"/>
      <c r="V84" s="99"/>
      <c r="W84" s="77"/>
      <c r="X84" s="119"/>
      <c r="Y84" s="120"/>
      <c r="Z84" s="120"/>
      <c r="AA84" s="120"/>
      <c r="AB84" s="2"/>
      <c r="AC84" s="9"/>
    </row>
    <row r="85" spans="1:54" ht="15" customHeight="1">
      <c r="A85" s="6"/>
      <c r="B85" s="127" t="s">
        <v>140</v>
      </c>
      <c r="C85" s="128" t="s">
        <v>141</v>
      </c>
      <c r="D85" s="127"/>
      <c r="E85" s="127"/>
      <c r="F85" s="6"/>
      <c r="G85" s="74"/>
      <c r="H85" s="74"/>
      <c r="I85" s="74"/>
      <c r="J85" s="73"/>
      <c r="K85" s="73"/>
      <c r="L85" s="76"/>
      <c r="M85" s="76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119"/>
      <c r="Y85" s="129"/>
      <c r="Z85" s="129"/>
      <c r="AA85" s="129"/>
      <c r="AB85" s="2"/>
      <c r="AC85" s="9"/>
    </row>
    <row r="86" spans="1:54" ht="17.25" customHeight="1">
      <c r="A86" s="130"/>
      <c r="B86" s="131"/>
      <c r="C86" s="85" t="s">
        <v>142</v>
      </c>
      <c r="D86" s="85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85"/>
      <c r="AA86" s="85"/>
      <c r="AC86" s="9"/>
    </row>
    <row r="87" spans="1:54" ht="17.25" customHeight="1">
      <c r="A87" s="130"/>
      <c r="B87" s="1843" t="s">
        <v>143</v>
      </c>
      <c r="C87" s="1844"/>
      <c r="D87" s="1844"/>
      <c r="E87" s="1845" t="s">
        <v>144</v>
      </c>
      <c r="F87" s="1845"/>
      <c r="G87" s="1845"/>
      <c r="H87" s="1845"/>
      <c r="I87" s="1845" t="s">
        <v>145</v>
      </c>
      <c r="J87" s="1845"/>
      <c r="K87" s="1845"/>
      <c r="L87" s="1845"/>
      <c r="M87" s="1845"/>
      <c r="N87" s="1845"/>
      <c r="O87" s="1845" t="s">
        <v>146</v>
      </c>
      <c r="P87" s="1845"/>
      <c r="Q87" s="1845"/>
      <c r="R87" s="1845"/>
      <c r="S87" s="1845"/>
      <c r="T87" s="1845"/>
      <c r="U87" s="1845" t="s">
        <v>147</v>
      </c>
      <c r="V87" s="1845"/>
      <c r="W87" s="1845"/>
      <c r="X87" s="1845"/>
      <c r="Y87" s="1845"/>
      <c r="Z87" s="1846"/>
      <c r="AA87" s="85"/>
      <c r="AB87" s="9"/>
      <c r="AW87" s="5"/>
      <c r="AY87" s="3"/>
    </row>
    <row r="88" spans="1:54" ht="17.25" customHeight="1">
      <c r="A88" s="130"/>
      <c r="B88" s="1847" t="s">
        <v>148</v>
      </c>
      <c r="C88" s="1848"/>
      <c r="D88" s="1848"/>
      <c r="E88" s="1849" t="s">
        <v>149</v>
      </c>
      <c r="F88" s="1849"/>
      <c r="G88" s="1849"/>
      <c r="H88" s="1849"/>
      <c r="I88" s="1849" t="s">
        <v>150</v>
      </c>
      <c r="J88" s="1849"/>
      <c r="K88" s="1849"/>
      <c r="L88" s="1849"/>
      <c r="M88" s="1849"/>
      <c r="N88" s="1849"/>
      <c r="O88" s="1849" t="s">
        <v>151</v>
      </c>
      <c r="P88" s="1849"/>
      <c r="Q88" s="1849"/>
      <c r="R88" s="1849"/>
      <c r="S88" s="1849"/>
      <c r="T88" s="1849"/>
      <c r="U88" s="1849" t="s">
        <v>152</v>
      </c>
      <c r="V88" s="1849"/>
      <c r="W88" s="1849"/>
      <c r="X88" s="1849"/>
      <c r="Y88" s="1849"/>
      <c r="Z88" s="1236"/>
      <c r="AA88" s="85"/>
      <c r="AB88" s="9"/>
      <c r="AW88" s="5"/>
      <c r="AY88" s="3"/>
    </row>
    <row r="89" spans="1:54" ht="17.25" customHeight="1">
      <c r="A89" s="130"/>
      <c r="B89" s="1836" t="s">
        <v>56</v>
      </c>
      <c r="C89" s="1837"/>
      <c r="D89" s="1837"/>
      <c r="E89" s="1838"/>
      <c r="F89" s="1838"/>
      <c r="G89" s="1838"/>
      <c r="H89" s="1838"/>
      <c r="I89" s="1838"/>
      <c r="J89" s="1838"/>
      <c r="K89" s="1838"/>
      <c r="L89" s="1838"/>
      <c r="M89" s="1838"/>
      <c r="N89" s="1838"/>
      <c r="O89" s="1838" t="s">
        <v>153</v>
      </c>
      <c r="P89" s="1838"/>
      <c r="Q89" s="1838"/>
      <c r="R89" s="1838"/>
      <c r="S89" s="1838"/>
      <c r="T89" s="1838"/>
      <c r="U89" s="1838" t="s">
        <v>154</v>
      </c>
      <c r="V89" s="1838"/>
      <c r="W89" s="1838"/>
      <c r="X89" s="1838"/>
      <c r="Y89" s="1838"/>
      <c r="Z89" s="1839"/>
      <c r="AA89" s="85"/>
      <c r="AB89" s="9"/>
      <c r="AW89" s="5"/>
      <c r="AY89" s="3"/>
    </row>
    <row r="90" spans="1:54" ht="17.25" customHeight="1">
      <c r="A90" s="130"/>
      <c r="B90" s="130"/>
      <c r="C90" s="130"/>
      <c r="D90" s="130"/>
      <c r="E90" s="133"/>
      <c r="F90" s="130"/>
      <c r="G90" s="130"/>
      <c r="H90" s="130"/>
      <c r="I90" s="130"/>
      <c r="J90" s="133"/>
      <c r="K90" s="130"/>
      <c r="L90" s="130"/>
      <c r="M90" s="130"/>
      <c r="N90" s="130"/>
      <c r="O90" s="134"/>
      <c r="P90" s="134"/>
      <c r="Q90" s="134"/>
      <c r="R90" s="135"/>
      <c r="S90" s="133"/>
      <c r="T90" s="133"/>
      <c r="U90" s="133"/>
      <c r="V90" s="135"/>
      <c r="W90" s="133"/>
      <c r="X90" s="133"/>
      <c r="Y90" s="133"/>
      <c r="Z90" s="133"/>
      <c r="AA90" s="133"/>
      <c r="AC90" s="2"/>
    </row>
    <row r="91" spans="1:54" ht="17.25" customHeight="1">
      <c r="A91" s="136"/>
      <c r="B91" s="137"/>
      <c r="C91" s="137"/>
      <c r="D91" s="137"/>
      <c r="E91" s="138"/>
      <c r="F91" s="137"/>
      <c r="G91" s="137"/>
      <c r="H91" s="137"/>
      <c r="I91" s="137"/>
      <c r="J91" s="138"/>
      <c r="K91" s="137"/>
      <c r="L91" s="137"/>
      <c r="M91" s="137"/>
      <c r="N91" s="137"/>
      <c r="O91" s="139"/>
      <c r="P91" s="139"/>
      <c r="Q91" s="139"/>
      <c r="R91" s="137"/>
      <c r="S91" s="138"/>
      <c r="T91" s="138"/>
      <c r="U91" s="138"/>
      <c r="V91" s="137"/>
      <c r="W91" s="138"/>
      <c r="X91" s="138"/>
      <c r="Y91" s="138"/>
      <c r="Z91" s="138"/>
      <c r="AA91" s="138"/>
      <c r="AC91" s="2"/>
    </row>
    <row r="92" spans="1:54" ht="17.25" customHeight="1">
      <c r="A92" s="6"/>
      <c r="B92" s="7" t="s">
        <v>397</v>
      </c>
      <c r="C92" s="6"/>
      <c r="D92" s="6"/>
      <c r="E92" s="6"/>
      <c r="F92" s="6"/>
      <c r="G92" s="74"/>
      <c r="H92" s="74"/>
      <c r="I92" s="74"/>
      <c r="J92" s="73"/>
      <c r="K92" s="73"/>
      <c r="L92" s="76"/>
      <c r="M92" s="76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119"/>
      <c r="Y92" s="129"/>
      <c r="Z92" s="129"/>
      <c r="AA92" s="129"/>
      <c r="AB92" s="2"/>
      <c r="AC92" s="2"/>
    </row>
    <row r="93" spans="1:54" ht="20.25" customHeight="1">
      <c r="A93" s="6"/>
      <c r="B93" s="74"/>
      <c r="C93" s="6"/>
      <c r="D93" s="6"/>
      <c r="E93" s="6"/>
      <c r="F93" s="6"/>
      <c r="G93" s="74"/>
      <c r="H93" s="74"/>
      <c r="I93" s="74"/>
      <c r="J93" s="73"/>
      <c r="K93" s="73"/>
      <c r="L93" s="76"/>
      <c r="M93" s="76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119"/>
      <c r="Y93" s="129"/>
      <c r="Z93" s="129"/>
      <c r="AA93" s="129"/>
      <c r="AB93" s="2"/>
      <c r="AC93" s="2"/>
    </row>
    <row r="94" spans="1:54" ht="20.25" customHeight="1">
      <c r="A94" s="6"/>
      <c r="B94" s="90" t="s">
        <v>155</v>
      </c>
      <c r="C94" s="94" t="s">
        <v>400</v>
      </c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129"/>
      <c r="AB94" s="2"/>
      <c r="AC94" s="2"/>
    </row>
    <row r="95" spans="1:54" ht="17.25" customHeight="1">
      <c r="A95" s="6"/>
      <c r="B95" s="1840" t="s">
        <v>143</v>
      </c>
      <c r="C95" s="1841"/>
      <c r="D95" s="1841" t="s">
        <v>157</v>
      </c>
      <c r="E95" s="1841"/>
      <c r="F95" s="1841"/>
      <c r="G95" s="1841"/>
      <c r="H95" s="1842" t="s">
        <v>158</v>
      </c>
      <c r="I95" s="1842"/>
      <c r="J95" s="1841" t="s">
        <v>159</v>
      </c>
      <c r="K95" s="1841"/>
      <c r="L95" s="1841"/>
      <c r="M95" s="1841"/>
      <c r="N95" s="1824" t="s">
        <v>160</v>
      </c>
      <c r="O95" s="1824"/>
      <c r="P95" s="1824"/>
      <c r="Q95" s="1824" t="s">
        <v>401</v>
      </c>
      <c r="R95" s="1824"/>
      <c r="S95" s="1824"/>
      <c r="T95" s="1824"/>
      <c r="U95" s="1824" t="s">
        <v>162</v>
      </c>
      <c r="V95" s="1824"/>
      <c r="W95" s="1824"/>
      <c r="X95" s="1824"/>
      <c r="Y95" s="1824"/>
      <c r="Z95" s="1825"/>
      <c r="AA95" s="129"/>
      <c r="AB95" s="2"/>
      <c r="AC95" s="2"/>
      <c r="AD95" s="10" t="s">
        <v>163</v>
      </c>
      <c r="AE95" s="10" t="s">
        <v>164</v>
      </c>
      <c r="AF95" s="10"/>
    </row>
    <row r="96" spans="1:54" ht="21.75" customHeight="1">
      <c r="A96" s="6"/>
      <c r="B96" s="1826" t="s">
        <v>396</v>
      </c>
      <c r="C96" s="1827"/>
      <c r="D96" s="1827">
        <f>+G5</f>
        <v>8.4</v>
      </c>
      <c r="E96" s="1827"/>
      <c r="F96" s="1827"/>
      <c r="G96" s="1827"/>
      <c r="H96" s="1830">
        <f>+K5</f>
        <v>8.8000000000000007</v>
      </c>
      <c r="I96" s="1830"/>
      <c r="J96" s="1827">
        <f>+O5</f>
        <v>7.4</v>
      </c>
      <c r="K96" s="1827"/>
      <c r="L96" s="1827"/>
      <c r="M96" s="1827"/>
      <c r="N96" s="1830">
        <f>+S5</f>
        <v>150</v>
      </c>
      <c r="O96" s="1830"/>
      <c r="P96" s="1830"/>
      <c r="Q96" s="1832">
        <v>500</v>
      </c>
      <c r="R96" s="1832"/>
      <c r="S96" s="1832"/>
      <c r="T96" s="1832"/>
      <c r="U96" s="1830">
        <v>0</v>
      </c>
      <c r="V96" s="1830"/>
      <c r="W96" s="1830"/>
      <c r="X96" s="1830"/>
      <c r="Y96" s="1830"/>
      <c r="Z96" s="1834"/>
      <c r="AA96" s="129"/>
      <c r="AB96" s="2"/>
      <c r="AC96" s="2"/>
    </row>
    <row r="97" spans="1:51" ht="17.25" customHeight="1">
      <c r="A97" s="6"/>
      <c r="B97" s="1828"/>
      <c r="C97" s="1829"/>
      <c r="D97" s="1829"/>
      <c r="E97" s="1829"/>
      <c r="F97" s="1829"/>
      <c r="G97" s="1829"/>
      <c r="H97" s="1831"/>
      <c r="I97" s="1831"/>
      <c r="J97" s="1829"/>
      <c r="K97" s="1829"/>
      <c r="L97" s="1829"/>
      <c r="M97" s="1829"/>
      <c r="N97" s="1831"/>
      <c r="O97" s="1831"/>
      <c r="P97" s="1831"/>
      <c r="Q97" s="1833"/>
      <c r="R97" s="1833"/>
      <c r="S97" s="1833"/>
      <c r="T97" s="1833"/>
      <c r="U97" s="1831"/>
      <c r="V97" s="1831"/>
      <c r="W97" s="1831"/>
      <c r="X97" s="1831"/>
      <c r="Y97" s="1831"/>
      <c r="Z97" s="1835"/>
      <c r="AA97" s="129"/>
      <c r="AB97" s="2"/>
      <c r="AC97" s="2"/>
    </row>
    <row r="98" spans="1:51" ht="17.25" customHeight="1">
      <c r="A98" s="6"/>
      <c r="B98" s="140"/>
      <c r="C98" s="140"/>
      <c r="D98" s="140"/>
      <c r="E98" s="140"/>
      <c r="F98" s="140"/>
      <c r="G98" s="140"/>
      <c r="H98" s="141"/>
      <c r="I98" s="141"/>
      <c r="J98" s="140"/>
      <c r="K98" s="140"/>
      <c r="L98" s="140"/>
      <c r="M98" s="140"/>
      <c r="N98" s="141"/>
      <c r="O98" s="141"/>
      <c r="P98" s="141"/>
      <c r="Q98" s="141"/>
      <c r="R98" s="141"/>
      <c r="S98" s="142"/>
      <c r="T98" s="142"/>
      <c r="U98" s="142"/>
      <c r="V98" s="142"/>
      <c r="W98" s="141"/>
      <c r="X98" s="141"/>
      <c r="Y98" s="141"/>
      <c r="Z98" s="141"/>
      <c r="AA98" s="129"/>
      <c r="AB98" s="2"/>
      <c r="AC98" s="2"/>
    </row>
    <row r="99" spans="1:51" ht="17.25" customHeight="1">
      <c r="A99" s="6"/>
      <c r="B99" s="143" t="s">
        <v>165</v>
      </c>
      <c r="C99" s="140"/>
      <c r="D99" s="140"/>
      <c r="F99" s="1242">
        <f>+AL126</f>
        <v>2.84</v>
      </c>
      <c r="G99" s="1242"/>
      <c r="H99" s="141" t="s">
        <v>184</v>
      </c>
      <c r="J99" s="144" t="s">
        <v>90</v>
      </c>
      <c r="K99" s="926">
        <f>ROUND(D96*F99,1)</f>
        <v>23.9</v>
      </c>
      <c r="L99" s="926"/>
      <c r="M99" s="926"/>
      <c r="N99" s="141"/>
      <c r="O99" s="141"/>
      <c r="P99" s="141"/>
      <c r="Q99" s="141"/>
      <c r="R99" s="141"/>
      <c r="S99" s="142"/>
      <c r="T99" s="142"/>
      <c r="U99" s="142"/>
      <c r="V99" s="142"/>
      <c r="W99" s="141"/>
      <c r="X99" s="141"/>
      <c r="Y99" s="141"/>
      <c r="Z99" s="141"/>
      <c r="AA99" s="129"/>
      <c r="AB99" s="2"/>
      <c r="AC99" s="2"/>
    </row>
    <row r="100" spans="1:51" ht="17.25" customHeight="1">
      <c r="A100" s="6"/>
      <c r="B100" s="140"/>
      <c r="C100" s="140"/>
      <c r="D100" s="140"/>
      <c r="E100" s="140"/>
      <c r="F100" s="140"/>
      <c r="G100" s="140"/>
      <c r="H100" s="141"/>
      <c r="I100" s="141"/>
      <c r="J100" s="140"/>
      <c r="K100" s="140"/>
      <c r="L100" s="140"/>
      <c r="M100" s="140"/>
      <c r="N100" s="141"/>
      <c r="O100" s="141"/>
      <c r="P100" s="141"/>
      <c r="Q100" s="141"/>
      <c r="R100" s="141"/>
      <c r="S100" s="142"/>
      <c r="T100" s="142"/>
      <c r="U100" s="142"/>
      <c r="V100" s="142"/>
      <c r="W100" s="141"/>
      <c r="X100" s="141"/>
      <c r="Y100" s="141"/>
      <c r="Z100" s="141"/>
      <c r="AA100" s="129"/>
      <c r="AB100" s="2"/>
      <c r="AC100" s="2"/>
    </row>
    <row r="101" spans="1:51" ht="17.25" customHeight="1">
      <c r="A101" s="6"/>
      <c r="B101" s="90" t="s">
        <v>166</v>
      </c>
      <c r="C101" s="74" t="s">
        <v>167</v>
      </c>
      <c r="D101" s="140"/>
      <c r="E101" s="140"/>
      <c r="F101" s="140"/>
      <c r="G101" s="140"/>
      <c r="H101" s="141"/>
      <c r="I101" s="141"/>
      <c r="J101" s="140"/>
      <c r="K101" s="140"/>
      <c r="L101" s="140"/>
      <c r="M101" s="140"/>
      <c r="N101" s="141"/>
      <c r="O101" s="141"/>
      <c r="P101" s="141"/>
      <c r="Q101" s="141"/>
      <c r="R101" s="141"/>
      <c r="S101" s="142"/>
      <c r="T101" s="142"/>
      <c r="U101" s="142"/>
      <c r="V101" s="142"/>
      <c r="W101" s="141"/>
      <c r="X101" s="141"/>
      <c r="Y101" s="141"/>
      <c r="Z101" s="141"/>
      <c r="AA101" s="129"/>
      <c r="AB101" s="2"/>
      <c r="AC101" s="2"/>
    </row>
    <row r="102" spans="1:51" ht="17.25" customHeight="1">
      <c r="A102" s="6"/>
      <c r="B102" s="140"/>
      <c r="C102" s="140"/>
      <c r="D102" s="140"/>
      <c r="E102" s="140"/>
      <c r="F102" s="140"/>
      <c r="G102" s="140"/>
      <c r="H102" s="141"/>
      <c r="I102" s="141"/>
      <c r="J102" s="140"/>
      <c r="K102" s="140"/>
      <c r="L102" s="140"/>
      <c r="M102" s="140"/>
      <c r="N102" s="141"/>
      <c r="O102" s="141"/>
      <c r="P102" s="141"/>
      <c r="Q102" s="141"/>
      <c r="R102" s="141"/>
      <c r="S102" s="142"/>
      <c r="T102" s="142"/>
      <c r="U102" s="142"/>
      <c r="V102" s="142"/>
      <c r="W102" s="141"/>
      <c r="X102" s="141"/>
      <c r="Y102" s="141"/>
      <c r="Z102" s="141"/>
      <c r="AA102" s="129"/>
      <c r="AB102" s="2"/>
      <c r="AC102" s="2"/>
    </row>
    <row r="103" spans="1:51" ht="17.25" customHeight="1">
      <c r="A103" s="6"/>
      <c r="D103" s="6"/>
      <c r="E103" s="6"/>
      <c r="F103" s="6"/>
      <c r="G103" s="74"/>
      <c r="H103" s="74"/>
      <c r="I103" s="74"/>
      <c r="J103" s="73"/>
      <c r="K103" s="73"/>
      <c r="L103" s="76"/>
      <c r="M103" s="76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119"/>
      <c r="Y103" s="129"/>
      <c r="Z103" s="129"/>
      <c r="AA103" s="129"/>
      <c r="AB103" s="2"/>
      <c r="AC103" s="2"/>
      <c r="AD103" s="145" t="s">
        <v>168</v>
      </c>
      <c r="AE103" s="145" t="s">
        <v>169</v>
      </c>
      <c r="AF103" s="145"/>
      <c r="AG103" s="145"/>
      <c r="AH103" s="145"/>
      <c r="AI103" s="145"/>
      <c r="AJ103" s="145"/>
      <c r="AK103" s="145"/>
      <c r="AL103" s="145"/>
    </row>
    <row r="104" spans="1:51" ht="21.75" customHeight="1">
      <c r="A104" s="6"/>
      <c r="B104" s="7"/>
      <c r="C104" s="6"/>
      <c r="D104" s="6"/>
      <c r="E104" s="6"/>
      <c r="F104" s="6"/>
      <c r="G104" s="74"/>
      <c r="H104" s="74"/>
      <c r="I104" s="74"/>
      <c r="J104" s="73"/>
      <c r="K104" s="73"/>
      <c r="L104" s="76"/>
      <c r="M104" s="76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119"/>
      <c r="Z104" s="146"/>
      <c r="AA104" s="76"/>
      <c r="AB104" s="46"/>
      <c r="AC104" s="2"/>
      <c r="AD104" s="145" t="s">
        <v>170</v>
      </c>
      <c r="AE104" s="145" t="s">
        <v>171</v>
      </c>
    </row>
    <row r="105" spans="1:51" ht="17.25" customHeight="1">
      <c r="A105" s="6"/>
      <c r="B105" s="1803" t="s">
        <v>48</v>
      </c>
      <c r="C105" s="1804"/>
      <c r="D105" s="1820" t="s">
        <v>49</v>
      </c>
      <c r="E105" s="1820"/>
      <c r="F105" s="1820"/>
      <c r="G105" s="1821"/>
      <c r="H105" s="1822" t="s">
        <v>50</v>
      </c>
      <c r="I105" s="1820"/>
      <c r="J105" s="1821"/>
      <c r="K105" s="1823" t="s">
        <v>51</v>
      </c>
      <c r="L105" s="1803"/>
      <c r="M105" s="1804"/>
      <c r="N105" s="1803" t="s">
        <v>52</v>
      </c>
      <c r="O105" s="1804"/>
      <c r="P105" s="1805" t="s">
        <v>53</v>
      </c>
      <c r="Q105" s="1806"/>
      <c r="R105" s="1807" t="s">
        <v>54</v>
      </c>
      <c r="S105" s="1808"/>
      <c r="T105" s="1809"/>
      <c r="U105" s="1807" t="s">
        <v>55</v>
      </c>
      <c r="V105" s="1808"/>
      <c r="W105" s="1809"/>
      <c r="X105" s="1810" t="s">
        <v>172</v>
      </c>
      <c r="Y105" s="1811"/>
      <c r="Z105" s="1811"/>
      <c r="AA105" s="77"/>
      <c r="AD105" s="1814" t="s">
        <v>57</v>
      </c>
      <c r="AE105" s="1814"/>
      <c r="AF105" s="1815"/>
      <c r="AG105" s="1786" t="s">
        <v>58</v>
      </c>
      <c r="AH105" s="1787"/>
      <c r="AI105" s="1788"/>
      <c r="AV105" s="5"/>
      <c r="AW105" s="5"/>
      <c r="AX105" s="3"/>
      <c r="AY105" s="3"/>
    </row>
    <row r="106" spans="1:51" ht="24" customHeight="1">
      <c r="A106" s="6"/>
      <c r="B106" s="1818"/>
      <c r="C106" s="1819"/>
      <c r="D106" s="1792" t="s">
        <v>14</v>
      </c>
      <c r="E106" s="1792"/>
      <c r="F106" s="1792"/>
      <c r="G106" s="1793"/>
      <c r="H106" s="1794" t="s">
        <v>14</v>
      </c>
      <c r="I106" s="1795"/>
      <c r="J106" s="1796"/>
      <c r="K106" s="1797" t="s">
        <v>15</v>
      </c>
      <c r="L106" s="1798"/>
      <c r="M106" s="1799"/>
      <c r="N106" s="1798" t="s">
        <v>15</v>
      </c>
      <c r="O106" s="1799"/>
      <c r="P106" s="1798"/>
      <c r="Q106" s="1799"/>
      <c r="R106" s="1797" t="s">
        <v>61</v>
      </c>
      <c r="S106" s="1798"/>
      <c r="T106" s="1799"/>
      <c r="U106" s="1800" t="s">
        <v>15</v>
      </c>
      <c r="V106" s="1801"/>
      <c r="W106" s="1802"/>
      <c r="X106" s="1812"/>
      <c r="Y106" s="1813"/>
      <c r="Z106" s="1813"/>
      <c r="AA106" s="77"/>
      <c r="AD106" s="1816"/>
      <c r="AE106" s="1816"/>
      <c r="AF106" s="1817"/>
      <c r="AG106" s="1789"/>
      <c r="AH106" s="1790"/>
      <c r="AI106" s="1791"/>
      <c r="AV106" s="5"/>
      <c r="AW106" s="5"/>
      <c r="AX106" s="3"/>
      <c r="AY106" s="3"/>
    </row>
    <row r="107" spans="1:51" ht="17.25" customHeight="1">
      <c r="A107" s="6"/>
      <c r="B107" s="1771" t="s">
        <v>402</v>
      </c>
      <c r="C107" s="927"/>
      <c r="D107" s="1785">
        <v>7.4</v>
      </c>
      <c r="E107" s="1785"/>
      <c r="F107" s="1773">
        <v>7.7</v>
      </c>
      <c r="G107" s="1773"/>
      <c r="H107" s="870">
        <f>F107-D107</f>
        <v>0.29999999999999982</v>
      </c>
      <c r="I107" s="870"/>
      <c r="J107" s="870"/>
      <c r="K107" s="1774">
        <v>19</v>
      </c>
      <c r="L107" s="1774"/>
      <c r="M107" s="1774"/>
      <c r="N107" s="1775">
        <f>AD57</f>
        <v>0</v>
      </c>
      <c r="O107" s="1775"/>
      <c r="P107" s="1035">
        <f>N107*H107</f>
        <v>0</v>
      </c>
      <c r="Q107" s="1035"/>
      <c r="R107" s="927">
        <v>42</v>
      </c>
      <c r="S107" s="927"/>
      <c r="T107" s="927"/>
      <c r="U107" s="1216">
        <f>+J426</f>
        <v>200000</v>
      </c>
      <c r="V107" s="1216"/>
      <c r="W107" s="1216"/>
      <c r="X107" s="933"/>
      <c r="Y107" s="933"/>
      <c r="Z107" s="934"/>
      <c r="AA107" s="77"/>
      <c r="AD107" s="1782">
        <f>+ROUND(RADIANS(R107),4)</f>
        <v>0.73299999999999998</v>
      </c>
      <c r="AE107" s="1783"/>
      <c r="AF107" s="1784"/>
      <c r="AG107" s="1782">
        <f>+ROUND(TAN(AD107)*H107,4)</f>
        <v>0.27010000000000001</v>
      </c>
      <c r="AH107" s="1783"/>
      <c r="AI107" s="1784"/>
      <c r="AV107" s="5"/>
      <c r="AW107" s="5"/>
      <c r="AX107" s="3"/>
      <c r="AY107" s="3"/>
    </row>
    <row r="108" spans="1:51" ht="17.25" customHeight="1">
      <c r="A108" s="6"/>
      <c r="B108" s="1771" t="str">
        <f>+B12</f>
        <v>퇴적층</v>
      </c>
      <c r="C108" s="927"/>
      <c r="D108" s="1772">
        <f>+F107</f>
        <v>7.7</v>
      </c>
      <c r="E108" s="1772"/>
      <c r="F108" s="1773">
        <v>8</v>
      </c>
      <c r="G108" s="1773"/>
      <c r="H108" s="870">
        <f>F108-D108</f>
        <v>0.29999999999999982</v>
      </c>
      <c r="I108" s="870"/>
      <c r="J108" s="870"/>
      <c r="K108" s="1774">
        <f t="shared" ref="K108:K109" si="10">VLOOKUP(B108,$B$11:$Z$15,10,FALSE)</f>
        <v>18</v>
      </c>
      <c r="L108" s="1774"/>
      <c r="M108" s="1774"/>
      <c r="N108" s="1775">
        <f>VLOOKUP(B108,$B$11:$W$15,13,FALSE)</f>
        <v>3</v>
      </c>
      <c r="O108" s="1775"/>
      <c r="P108" s="1035">
        <f>N108*H108</f>
        <v>0.89999999999999947</v>
      </c>
      <c r="Q108" s="1035"/>
      <c r="R108" s="927">
        <f>+VLOOKUP(B108,$B$11:$W$15,17,FALSE)</f>
        <v>23</v>
      </c>
      <c r="S108" s="927"/>
      <c r="T108" s="927"/>
      <c r="U108" s="1216">
        <f>+VLOOKUP(B108,$B$11:$W$15,20,FALSE)</f>
        <v>30000</v>
      </c>
      <c r="V108" s="1216"/>
      <c r="W108" s="1216"/>
      <c r="X108" s="933"/>
      <c r="Y108" s="933"/>
      <c r="Z108" s="934"/>
      <c r="AA108" s="77"/>
      <c r="AD108" s="1782">
        <f>+ROUND(RADIANS(R108),4)</f>
        <v>0.40139999999999998</v>
      </c>
      <c r="AE108" s="1783"/>
      <c r="AF108" s="1784"/>
      <c r="AG108" s="1782">
        <f>+ROUND(TAN(AD108)*H108,4)</f>
        <v>0.1273</v>
      </c>
      <c r="AH108" s="1783"/>
      <c r="AI108" s="1784"/>
      <c r="AV108" s="5"/>
      <c r="AW108" s="5"/>
      <c r="AX108" s="3"/>
      <c r="AY108" s="3"/>
    </row>
    <row r="109" spans="1:51" ht="17.25" customHeight="1">
      <c r="A109" s="6"/>
      <c r="B109" s="1771" t="str">
        <f t="shared" ref="B109:B110" si="11">+B13</f>
        <v>풍화토</v>
      </c>
      <c r="C109" s="927"/>
      <c r="D109" s="1772">
        <f>+F108</f>
        <v>8</v>
      </c>
      <c r="E109" s="1772"/>
      <c r="F109" s="1773">
        <v>20</v>
      </c>
      <c r="G109" s="1773"/>
      <c r="H109" s="870">
        <f>F109-D109</f>
        <v>12</v>
      </c>
      <c r="I109" s="870"/>
      <c r="J109" s="870"/>
      <c r="K109" s="1774">
        <f t="shared" si="10"/>
        <v>19</v>
      </c>
      <c r="L109" s="1774"/>
      <c r="M109" s="1774"/>
      <c r="N109" s="1775">
        <f t="shared" ref="N109:N110" si="12">VLOOKUP(B109,$B$11:$W$15,13,FALSE)</f>
        <v>5</v>
      </c>
      <c r="O109" s="1775"/>
      <c r="P109" s="1035">
        <f>N109*H109</f>
        <v>60</v>
      </c>
      <c r="Q109" s="1035"/>
      <c r="R109" s="927">
        <f t="shared" ref="R109:R110" si="13">+VLOOKUP(B109,$B$11:$W$15,17,FALSE)</f>
        <v>25</v>
      </c>
      <c r="S109" s="927"/>
      <c r="T109" s="927"/>
      <c r="U109" s="1216">
        <f t="shared" ref="U109:U110" si="14">+VLOOKUP(B109,$B$11:$W$15,20,FALSE)</f>
        <v>27000</v>
      </c>
      <c r="V109" s="1216"/>
      <c r="W109" s="1216"/>
      <c r="X109" s="933"/>
      <c r="Y109" s="933"/>
      <c r="Z109" s="934"/>
      <c r="AA109" s="77"/>
      <c r="AD109" s="1776">
        <f>+ROUND(RADIANS(R109),4)</f>
        <v>0.43630000000000002</v>
      </c>
      <c r="AE109" s="1777"/>
      <c r="AF109" s="1778"/>
      <c r="AG109" s="1779">
        <f>+ROUND(TAN(AD109)*H109,5)</f>
        <v>5.5952200000000003</v>
      </c>
      <c r="AH109" s="1780"/>
      <c r="AI109" s="1781"/>
      <c r="AV109" s="5"/>
      <c r="AW109" s="5"/>
      <c r="AX109" s="3"/>
      <c r="AY109" s="3"/>
    </row>
    <row r="110" spans="1:51" ht="17.25" customHeight="1">
      <c r="A110" s="6"/>
      <c r="B110" s="1771" t="str">
        <f t="shared" si="11"/>
        <v>풍화암</v>
      </c>
      <c r="C110" s="927"/>
      <c r="D110" s="1772">
        <f>F109</f>
        <v>20</v>
      </c>
      <c r="E110" s="1772"/>
      <c r="F110" s="1773">
        <v>22</v>
      </c>
      <c r="G110" s="1773"/>
      <c r="H110" s="855">
        <f>F110-D110</f>
        <v>2</v>
      </c>
      <c r="I110" s="855"/>
      <c r="J110" s="855"/>
      <c r="K110" s="1774">
        <f>VLOOKUP(B110,$B$11:$Z$15,10,FALSE)</f>
        <v>20</v>
      </c>
      <c r="L110" s="1774"/>
      <c r="M110" s="1774"/>
      <c r="N110" s="1775">
        <f t="shared" si="12"/>
        <v>10</v>
      </c>
      <c r="O110" s="1775"/>
      <c r="P110" s="1035">
        <f>N110*H110</f>
        <v>20</v>
      </c>
      <c r="Q110" s="1035"/>
      <c r="R110" s="927">
        <f t="shared" si="13"/>
        <v>27</v>
      </c>
      <c r="S110" s="927"/>
      <c r="T110" s="927"/>
      <c r="U110" s="1216">
        <f t="shared" si="14"/>
        <v>264000</v>
      </c>
      <c r="V110" s="1216"/>
      <c r="W110" s="1216"/>
      <c r="X110" s="933"/>
      <c r="Y110" s="933"/>
      <c r="Z110" s="934"/>
      <c r="AA110" s="77"/>
      <c r="AD110" s="1776">
        <f>+ROUND(RADIANS(R110),4)</f>
        <v>0.47120000000000001</v>
      </c>
      <c r="AE110" s="1777"/>
      <c r="AF110" s="1778"/>
      <c r="AG110" s="1779">
        <f>+ROUND(TAN(AD110)*H110,5)</f>
        <v>1.01895</v>
      </c>
      <c r="AH110" s="1780"/>
      <c r="AI110" s="1781"/>
      <c r="AV110" s="5"/>
      <c r="AW110" s="5"/>
      <c r="AX110" s="3"/>
      <c r="AY110" s="3"/>
    </row>
    <row r="111" spans="1:51" ht="17.25" customHeight="1">
      <c r="A111" s="6"/>
      <c r="B111" s="1771"/>
      <c r="C111" s="927"/>
      <c r="D111" s="1772"/>
      <c r="E111" s="1773"/>
      <c r="F111" s="1773"/>
      <c r="G111" s="1773"/>
      <c r="H111" s="855">
        <f>F111-D111</f>
        <v>0</v>
      </c>
      <c r="I111" s="855"/>
      <c r="J111" s="855"/>
      <c r="K111" s="1774"/>
      <c r="L111" s="1774"/>
      <c r="M111" s="1774"/>
      <c r="N111" s="1775"/>
      <c r="O111" s="1775"/>
      <c r="P111" s="1035"/>
      <c r="Q111" s="1035"/>
      <c r="R111" s="927"/>
      <c r="S111" s="927"/>
      <c r="T111" s="927"/>
      <c r="U111" s="1216"/>
      <c r="V111" s="1216"/>
      <c r="W111" s="1216"/>
      <c r="X111" s="933"/>
      <c r="Y111" s="933"/>
      <c r="Z111" s="934"/>
      <c r="AA111" s="77"/>
      <c r="AD111" s="1768">
        <f>+ROUND(RADIANS(R111),4)</f>
        <v>0</v>
      </c>
      <c r="AE111" s="1769"/>
      <c r="AF111" s="1770"/>
      <c r="AG111" s="1768">
        <f>+ROUND(TAN(AD111)*H111,4)</f>
        <v>0</v>
      </c>
      <c r="AH111" s="1769"/>
      <c r="AI111" s="1770"/>
      <c r="AV111" s="5"/>
      <c r="AW111" s="5"/>
      <c r="AX111" s="3"/>
      <c r="AY111" s="3"/>
    </row>
    <row r="112" spans="1:51" ht="17.25" customHeight="1">
      <c r="A112" s="6"/>
      <c r="B112" s="858" t="s">
        <v>77</v>
      </c>
      <c r="C112" s="858"/>
      <c r="D112" s="858"/>
      <c r="E112" s="858"/>
      <c r="F112" s="858"/>
      <c r="G112" s="858"/>
      <c r="H112" s="857">
        <f>ROUND(SUM(H107:J111),2)</f>
        <v>14.6</v>
      </c>
      <c r="I112" s="857"/>
      <c r="J112" s="857"/>
      <c r="K112" s="1226"/>
      <c r="L112" s="1226"/>
      <c r="M112" s="1226"/>
      <c r="N112" s="1299"/>
      <c r="O112" s="1299"/>
      <c r="P112" s="1301">
        <f>SUM(P107:Q111)</f>
        <v>80.900000000000006</v>
      </c>
      <c r="Q112" s="1301"/>
      <c r="R112" s="1302"/>
      <c r="S112" s="1302"/>
      <c r="T112" s="1302"/>
      <c r="U112" s="1270"/>
      <c r="V112" s="1270"/>
      <c r="W112" s="1270"/>
      <c r="X112" s="1271"/>
      <c r="Y112" s="1271"/>
      <c r="Z112" s="1272"/>
      <c r="AA112" s="77"/>
      <c r="AD112" s="1761"/>
      <c r="AE112" s="1762"/>
      <c r="AF112" s="1763"/>
      <c r="AG112" s="1764">
        <f>SUM(AG107:AG111)</f>
        <v>7.0115700000000007</v>
      </c>
      <c r="AH112" s="1765"/>
      <c r="AI112" s="1766"/>
      <c r="AV112" s="5"/>
      <c r="AW112" s="5"/>
      <c r="AX112" s="3"/>
      <c r="AY112" s="3"/>
    </row>
    <row r="113" spans="1:55" ht="17.25" customHeight="1">
      <c r="A113" s="6"/>
      <c r="B113" s="147"/>
      <c r="C113" s="147"/>
      <c r="D113" s="147"/>
      <c r="E113" s="147"/>
      <c r="F113" s="147"/>
      <c r="G113" s="147"/>
      <c r="H113" s="148"/>
      <c r="I113" s="148"/>
      <c r="J113" s="149"/>
      <c r="K113" s="150"/>
      <c r="L113" s="150"/>
      <c r="M113" s="150"/>
      <c r="N113" s="151"/>
      <c r="O113" s="151"/>
      <c r="P113" s="152"/>
      <c r="Q113" s="152"/>
      <c r="R113" s="150"/>
      <c r="S113" s="150"/>
      <c r="T113" s="153"/>
      <c r="U113" s="153"/>
      <c r="V113" s="153"/>
      <c r="W113" s="154"/>
      <c r="X113" s="154"/>
      <c r="Y113" s="154"/>
      <c r="Z113" s="155"/>
      <c r="AA113" s="155"/>
      <c r="AB113" s="156"/>
      <c r="AC113" s="2"/>
      <c r="AD113" s="1761" t="s">
        <v>81</v>
      </c>
      <c r="AE113" s="1762"/>
      <c r="AF113" s="1763"/>
      <c r="AG113" s="1767">
        <f>ROUND(+AG112/H112,5)</f>
        <v>0.48024</v>
      </c>
      <c r="AH113" s="1767"/>
      <c r="AI113" s="1767"/>
      <c r="AV113" s="5"/>
      <c r="AW113" s="5"/>
      <c r="AX113" s="3"/>
      <c r="AY113" s="3"/>
    </row>
    <row r="114" spans="1:55" ht="17.25" customHeight="1">
      <c r="A114" s="6"/>
      <c r="B114" s="157"/>
      <c r="C114" s="157"/>
      <c r="D114" s="158"/>
      <c r="E114" s="158"/>
      <c r="F114" s="157"/>
      <c r="G114" s="158"/>
      <c r="H114" s="158"/>
      <c r="I114" s="74"/>
      <c r="J114" s="76"/>
      <c r="K114" s="1760"/>
      <c r="L114" s="1760"/>
      <c r="M114" s="1760"/>
      <c r="N114" s="1760"/>
      <c r="O114" s="1760"/>
      <c r="P114" s="1760"/>
      <c r="Q114" s="1760"/>
      <c r="R114" s="1760"/>
      <c r="S114" s="1760"/>
      <c r="T114" s="1760"/>
      <c r="U114" s="1760"/>
      <c r="V114" s="1760"/>
      <c r="W114" s="1760"/>
      <c r="X114" s="76"/>
      <c r="Y114" s="85"/>
      <c r="Z114" s="85"/>
      <c r="AA114" s="85"/>
      <c r="AB114" s="9"/>
      <c r="AC114" s="2"/>
      <c r="AD114" s="1761" t="s">
        <v>174</v>
      </c>
      <c r="AE114" s="1762"/>
      <c r="AF114" s="1763"/>
      <c r="AG114" s="1065">
        <f>+ROUND(ATAN(AG113),3)</f>
        <v>0.44800000000000001</v>
      </c>
      <c r="AH114" s="1065"/>
      <c r="AI114" s="1065"/>
      <c r="AV114" s="5"/>
      <c r="AW114" s="5"/>
      <c r="AX114" s="3"/>
      <c r="AY114" s="3"/>
    </row>
    <row r="115" spans="1:55" ht="17.25" customHeight="1">
      <c r="A115" s="6"/>
      <c r="B115" s="157"/>
      <c r="C115" s="157"/>
      <c r="D115" s="158"/>
      <c r="E115" s="158"/>
      <c r="F115" s="157"/>
      <c r="G115" s="158"/>
      <c r="H115" s="158"/>
      <c r="I115" s="74"/>
      <c r="J115" s="76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6"/>
      <c r="Y115" s="129"/>
      <c r="Z115" s="129"/>
      <c r="AA115" s="129"/>
      <c r="AB115" s="9"/>
      <c r="AC115" s="2"/>
      <c r="AD115" s="1761" t="s">
        <v>175</v>
      </c>
      <c r="AE115" s="1762"/>
      <c r="AF115" s="1763"/>
      <c r="AG115" s="1065">
        <f>ROUND(DEGREES(AG114),2)</f>
        <v>25.67</v>
      </c>
      <c r="AH115" s="1065"/>
      <c r="AI115" s="1065"/>
      <c r="AV115" s="5"/>
      <c r="AW115" s="5"/>
      <c r="AX115" s="3"/>
      <c r="AY115" s="3"/>
    </row>
    <row r="116" spans="1:55" ht="17.25" customHeight="1">
      <c r="A116" s="6"/>
      <c r="B116" s="157" t="s">
        <v>176</v>
      </c>
      <c r="C116" s="157"/>
      <c r="D116" s="158"/>
      <c r="E116" s="158"/>
      <c r="F116" s="157"/>
      <c r="G116" s="158"/>
      <c r="H116" s="158"/>
      <c r="I116" s="74" t="s">
        <v>89</v>
      </c>
      <c r="J116" s="76"/>
      <c r="K116" s="73" t="str">
        <f>P112&amp;" / ("&amp;H112&amp;")"</f>
        <v>80.9 / (14.6)</v>
      </c>
      <c r="L116" s="76"/>
      <c r="M116" s="76"/>
      <c r="N116" s="77"/>
      <c r="O116" s="77"/>
      <c r="P116" s="77"/>
      <c r="Q116" s="77"/>
      <c r="R116" s="77"/>
      <c r="S116" s="77"/>
      <c r="T116" s="119" t="s">
        <v>90</v>
      </c>
      <c r="U116" s="1268">
        <f>+ROUND($P$112/($H$112),2)</f>
        <v>5.54</v>
      </c>
      <c r="V116" s="1268"/>
      <c r="W116" s="1268"/>
      <c r="X116" s="77"/>
      <c r="Y116" s="77"/>
      <c r="Z116" s="85"/>
      <c r="AA116" s="85"/>
      <c r="AT116" s="5"/>
      <c r="AU116" s="5"/>
      <c r="AX116" s="3"/>
      <c r="AY116" s="3"/>
    </row>
    <row r="117" spans="1:55" ht="17.25" customHeight="1">
      <c r="A117" s="6"/>
      <c r="AD117" s="73" t="s">
        <v>177</v>
      </c>
      <c r="AE117" s="157"/>
      <c r="AF117" s="158"/>
      <c r="AG117" s="158"/>
      <c r="AH117" s="157"/>
      <c r="AI117" s="74" t="s">
        <v>90</v>
      </c>
      <c r="AJ117" s="73" t="str">
        <f>"RADIAN(" &amp; AG113 &amp; ") "</f>
        <v xml:space="preserve">RADIAN(0.48024) </v>
      </c>
      <c r="AL117" s="76"/>
      <c r="AM117" s="119" t="s">
        <v>90</v>
      </c>
      <c r="AN117" s="1280">
        <f>ROUND(ATAN(AG113),4)</f>
        <v>0.44769999999999999</v>
      </c>
      <c r="AO117" s="1280"/>
      <c r="AP117" s="1280"/>
      <c r="AQ117" s="77" t="s">
        <v>178</v>
      </c>
      <c r="AR117" s="77"/>
      <c r="AS117" s="77"/>
      <c r="AT117" s="77"/>
      <c r="AU117" s="77"/>
      <c r="BA117" s="77"/>
      <c r="BB117" s="85"/>
      <c r="BC117" s="85"/>
    </row>
    <row r="118" spans="1:55" ht="17.25" customHeight="1">
      <c r="A118" s="6"/>
      <c r="B118" s="157"/>
      <c r="C118" s="157"/>
      <c r="D118" s="158"/>
      <c r="E118" s="158"/>
      <c r="F118" s="157"/>
      <c r="G118" s="158"/>
      <c r="H118" s="158"/>
      <c r="I118" s="74"/>
      <c r="J118" s="76"/>
      <c r="K118" s="73"/>
      <c r="L118" s="76"/>
      <c r="M118" s="76"/>
      <c r="N118" s="77"/>
      <c r="O118" s="77"/>
      <c r="P118" s="77"/>
      <c r="Q118" s="77"/>
      <c r="R118" s="77"/>
      <c r="S118" s="77"/>
      <c r="T118" s="119"/>
      <c r="U118" s="160"/>
      <c r="V118" s="160"/>
      <c r="W118" s="160"/>
      <c r="X118" s="77"/>
      <c r="Y118" s="77"/>
      <c r="Z118" s="85"/>
      <c r="AA118" s="85"/>
      <c r="AT118" s="5"/>
      <c r="AU118" s="5"/>
      <c r="AX118" s="3"/>
      <c r="AY118" s="3"/>
    </row>
    <row r="119" spans="1:55" ht="18" customHeight="1">
      <c r="A119" s="6"/>
      <c r="B119" s="157" t="s">
        <v>94</v>
      </c>
      <c r="C119" s="157"/>
      <c r="D119" s="158"/>
      <c r="E119" s="158"/>
      <c r="F119" s="157"/>
      <c r="G119" s="158"/>
      <c r="H119" s="158"/>
      <c r="I119" s="74"/>
      <c r="J119" s="76"/>
      <c r="K119" s="161" t="str">
        <f>"DEGREE(" &amp; AN117 &amp; ") "</f>
        <v xml:space="preserve">DEGREE(0.4477) </v>
      </c>
      <c r="L119" s="162"/>
      <c r="M119" s="162"/>
      <c r="N119" s="163"/>
      <c r="O119" s="163"/>
      <c r="P119" s="163"/>
      <c r="Q119" s="77"/>
      <c r="R119" s="77"/>
      <c r="S119" s="77"/>
      <c r="T119" s="119" t="s">
        <v>90</v>
      </c>
      <c r="U119" s="1268">
        <f>ROUND(DEGREES(AN117),2)</f>
        <v>25.65</v>
      </c>
      <c r="V119" s="1268"/>
      <c r="W119" s="1268"/>
      <c r="X119" s="163" t="s">
        <v>95</v>
      </c>
      <c r="Y119" s="163"/>
      <c r="AA119" s="163"/>
      <c r="AD119" t="s">
        <v>179</v>
      </c>
      <c r="AE119" s="85"/>
      <c r="AF119" s="85">
        <f>+K108</f>
        <v>18</v>
      </c>
      <c r="AG119" s="164" t="s">
        <v>180</v>
      </c>
      <c r="AH119" s="85">
        <f>+D96</f>
        <v>8.4</v>
      </c>
      <c r="AI119" s="165" t="s">
        <v>181</v>
      </c>
      <c r="AJ119" s="85">
        <f>+AK120</f>
        <v>11.08</v>
      </c>
      <c r="AK119" s="166" t="s">
        <v>90</v>
      </c>
      <c r="AL119" s="1757">
        <f>+AF119*AH119/AJ119</f>
        <v>13.646209386281591</v>
      </c>
      <c r="AM119" s="1757"/>
      <c r="AN119" s="167"/>
      <c r="AQ119" t="s">
        <v>182</v>
      </c>
      <c r="AR119" t="s">
        <v>51</v>
      </c>
      <c r="AT119" s="5"/>
      <c r="AU119" s="5"/>
      <c r="AX119" s="3"/>
      <c r="AY119" s="3"/>
    </row>
    <row r="120" spans="1:55" ht="18" customHeight="1">
      <c r="A120" s="6"/>
      <c r="B120" s="76"/>
      <c r="C120" s="76"/>
      <c r="D120" s="6"/>
      <c r="E120" s="6"/>
      <c r="F120" s="76"/>
      <c r="G120" s="6"/>
      <c r="H120" s="6"/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/>
      <c r="U120" s="168"/>
      <c r="V120" s="168"/>
      <c r="W120" s="168"/>
      <c r="X120" s="163"/>
      <c r="Y120" s="77"/>
      <c r="Z120" s="85"/>
      <c r="AA120" s="85"/>
      <c r="AD120" t="s">
        <v>183</v>
      </c>
      <c r="AE120" s="85"/>
      <c r="AF120" s="85">
        <v>2</v>
      </c>
      <c r="AG120" s="164" t="s">
        <v>180</v>
      </c>
      <c r="AH120" s="1262">
        <f>+U116</f>
        <v>5.54</v>
      </c>
      <c r="AI120" s="1262"/>
      <c r="AJ120" s="164" t="s">
        <v>90</v>
      </c>
      <c r="AK120">
        <f>+AH120*AF120</f>
        <v>11.08</v>
      </c>
      <c r="AL120" s="169"/>
      <c r="AM120" s="169"/>
      <c r="AN120"/>
      <c r="AQ120" t="s">
        <v>184</v>
      </c>
      <c r="AR120" t="s">
        <v>185</v>
      </c>
      <c r="AT120" s="5"/>
      <c r="AU120" s="5"/>
      <c r="AX120" s="3"/>
      <c r="AY120" s="3"/>
    </row>
    <row r="121" spans="1:55" ht="18" customHeight="1">
      <c r="A121" s="6"/>
      <c r="B121" s="74"/>
      <c r="C121" s="76"/>
      <c r="D121" s="6"/>
      <c r="E121" s="6"/>
      <c r="F121" s="76"/>
      <c r="G121" s="6"/>
      <c r="H121" s="6"/>
      <c r="I121" s="74"/>
      <c r="J121" s="76"/>
      <c r="K121" s="161"/>
      <c r="L121" s="76"/>
      <c r="M121" s="76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119"/>
      <c r="Y121" s="129"/>
      <c r="Z121" s="129"/>
      <c r="AA121" s="129"/>
      <c r="AB121" s="62"/>
      <c r="AC121" s="9"/>
      <c r="AD121"/>
      <c r="AE121" s="85"/>
      <c r="AF121" s="85"/>
      <c r="AG121" s="85"/>
      <c r="AH121" s="85"/>
      <c r="AI121" s="85"/>
      <c r="AJ121" s="85"/>
      <c r="AK121"/>
      <c r="AL121"/>
      <c r="AM121"/>
      <c r="AN121"/>
      <c r="AQ121" t="s">
        <v>186</v>
      </c>
      <c r="AR121" t="s">
        <v>187</v>
      </c>
    </row>
    <row r="122" spans="1:55" ht="18" customHeight="1">
      <c r="A122" s="6"/>
      <c r="B122" s="76"/>
      <c r="C122" s="73"/>
      <c r="D122" s="74"/>
      <c r="E122" s="6"/>
      <c r="F122" s="76"/>
      <c r="G122" s="6"/>
      <c r="H122" s="6"/>
      <c r="I122" s="74"/>
      <c r="J122" s="76"/>
      <c r="K122" s="161"/>
      <c r="L122" s="76"/>
      <c r="M122" s="76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119"/>
      <c r="Y122" s="129"/>
      <c r="Z122" s="129"/>
      <c r="AA122" s="129"/>
      <c r="AB122" s="62"/>
      <c r="AC122" s="9"/>
      <c r="AD122" t="s">
        <v>188</v>
      </c>
      <c r="AE122"/>
      <c r="AF122"/>
      <c r="AG122"/>
      <c r="AH122"/>
      <c r="AI122"/>
      <c r="AJ122"/>
      <c r="AK122"/>
      <c r="AL122" s="1758">
        <f>+U119</f>
        <v>25.65</v>
      </c>
      <c r="AM122" s="1759"/>
    </row>
    <row r="123" spans="1:55" ht="18" customHeight="1">
      <c r="A123" s="6"/>
      <c r="B123" s="76"/>
      <c r="C123" s="73"/>
      <c r="D123" s="74"/>
      <c r="E123" s="6"/>
      <c r="F123" s="76"/>
      <c r="G123" s="6"/>
      <c r="H123" s="6"/>
      <c r="I123" s="82"/>
      <c r="J123" s="82"/>
      <c r="K123" s="161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119"/>
      <c r="Y123" s="129"/>
      <c r="Z123" s="129"/>
      <c r="AA123" s="129"/>
      <c r="AB123" s="62"/>
      <c r="AC123" s="2"/>
    </row>
    <row r="124" spans="1:55" ht="18" customHeight="1">
      <c r="A124" s="6"/>
      <c r="B124" s="76"/>
      <c r="C124" s="73"/>
      <c r="D124" s="74"/>
      <c r="E124" s="6"/>
      <c r="F124" s="76"/>
      <c r="G124" s="6"/>
      <c r="H124" s="6"/>
      <c r="I124" s="82"/>
      <c r="J124" s="82"/>
      <c r="K124" s="161"/>
      <c r="L124" s="76"/>
      <c r="M124" s="76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119"/>
      <c r="Y124" s="129"/>
      <c r="Z124" s="129"/>
      <c r="AA124" s="129"/>
      <c r="AB124" s="62"/>
      <c r="AC124" s="170"/>
      <c r="AD124" s="171" t="s">
        <v>189</v>
      </c>
      <c r="AL124" s="1759">
        <v>0.49</v>
      </c>
      <c r="AM124" s="1759"/>
    </row>
    <row r="125" spans="1:55" ht="18" customHeight="1">
      <c r="A125" s="6"/>
      <c r="B125" s="76"/>
      <c r="C125" s="73"/>
      <c r="D125" s="74"/>
      <c r="E125" s="6"/>
      <c r="F125" s="76"/>
      <c r="G125" s="6"/>
      <c r="H125" s="6"/>
      <c r="I125" s="82"/>
      <c r="J125" s="82"/>
      <c r="K125" s="161"/>
      <c r="L125" s="76"/>
      <c r="M125" s="76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119"/>
      <c r="Y125" s="129"/>
      <c r="Z125" s="129"/>
      <c r="AA125" s="129"/>
      <c r="AB125" s="62"/>
      <c r="AC125" s="170"/>
      <c r="AL125" s="172"/>
      <c r="AM125" s="172"/>
    </row>
    <row r="126" spans="1:55" ht="18" customHeight="1">
      <c r="A126" s="6"/>
      <c r="B126" s="76"/>
      <c r="C126" s="73"/>
      <c r="D126" s="74"/>
      <c r="E126" s="6"/>
      <c r="F126" s="76"/>
      <c r="G126" s="6"/>
      <c r="H126" s="6"/>
      <c r="I126" s="74"/>
      <c r="J126" s="76"/>
      <c r="K126" s="161"/>
      <c r="L126" s="76"/>
      <c r="M126" s="76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119"/>
      <c r="Y126" s="129"/>
      <c r="Z126" s="129"/>
      <c r="AA126" s="129"/>
      <c r="AB126" s="62"/>
      <c r="AC126" s="170"/>
      <c r="AD126" s="85" t="s">
        <v>190</v>
      </c>
      <c r="AL126" s="1756">
        <v>2.84</v>
      </c>
      <c r="AM126" s="1756"/>
    </row>
    <row r="127" spans="1:55" ht="17.25" customHeight="1">
      <c r="A127" s="6"/>
      <c r="B127" s="76"/>
      <c r="C127" s="73"/>
      <c r="D127" s="74"/>
      <c r="E127" s="6"/>
      <c r="F127" s="76"/>
      <c r="G127" s="6"/>
      <c r="H127" s="6"/>
      <c r="I127" s="74"/>
      <c r="J127" s="76"/>
      <c r="K127" s="161"/>
      <c r="L127" s="76"/>
      <c r="M127" s="76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119"/>
      <c r="Y127" s="129"/>
      <c r="Z127" s="129"/>
      <c r="AA127" s="129"/>
      <c r="AB127" s="62"/>
      <c r="AC127" s="170"/>
      <c r="AL127" s="173"/>
      <c r="AM127" s="173"/>
    </row>
    <row r="128" spans="1:55" ht="17.25" customHeight="1">
      <c r="A128" s="6"/>
      <c r="B128" s="74"/>
      <c r="C128" s="73"/>
      <c r="D128" s="74"/>
      <c r="E128" s="6"/>
      <c r="F128" s="76"/>
      <c r="G128" s="6"/>
      <c r="H128" s="6"/>
      <c r="I128" s="74"/>
      <c r="J128" s="76"/>
      <c r="K128" s="161"/>
      <c r="L128" s="76"/>
      <c r="M128" s="76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119"/>
      <c r="Y128" s="129"/>
      <c r="Z128" s="129"/>
      <c r="AA128" s="129"/>
      <c r="AB128" s="62"/>
      <c r="AC128" s="170"/>
      <c r="AD128" s="85" t="s">
        <v>191</v>
      </c>
      <c r="AL128" s="1756">
        <f>ROUND(AL126*D96,1)</f>
        <v>23.9</v>
      </c>
      <c r="AM128" s="1756"/>
      <c r="AN128" s="3" t="s">
        <v>14</v>
      </c>
    </row>
    <row r="129" spans="1:66" ht="17.25" customHeight="1">
      <c r="A129" s="6"/>
      <c r="B129" s="174"/>
      <c r="C129" s="174"/>
      <c r="D129" s="175"/>
      <c r="E129" s="175"/>
      <c r="F129" s="175"/>
      <c r="G129" s="175"/>
      <c r="H129" s="175"/>
      <c r="I129" s="175"/>
      <c r="J129" s="175"/>
      <c r="K129" s="174"/>
      <c r="L129" s="174"/>
      <c r="M129" s="174"/>
      <c r="N129" s="174"/>
      <c r="O129" s="174"/>
      <c r="P129" s="176"/>
      <c r="Q129" s="176"/>
      <c r="R129" s="177"/>
      <c r="S129" s="177"/>
      <c r="T129" s="177"/>
      <c r="U129" s="177"/>
      <c r="V129" s="177"/>
      <c r="W129" s="177"/>
      <c r="X129" s="177"/>
      <c r="Y129" s="177"/>
      <c r="Z129" s="82"/>
      <c r="AA129" s="82"/>
      <c r="AB129" s="178"/>
      <c r="AC129" s="170"/>
    </row>
    <row r="130" spans="1:66" ht="17.25" customHeight="1">
      <c r="A130" s="6"/>
      <c r="B130" s="174"/>
      <c r="C130" s="174"/>
      <c r="D130" s="179"/>
      <c r="E130" s="179"/>
      <c r="F130" s="179"/>
      <c r="G130" s="179"/>
      <c r="H130" s="175"/>
      <c r="I130" s="175"/>
      <c r="J130" s="175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80"/>
      <c r="X130" s="180"/>
      <c r="Y130" s="180"/>
      <c r="Z130" s="82"/>
      <c r="AA130" s="82"/>
      <c r="AB130" s="178"/>
      <c r="AC130" s="170"/>
    </row>
    <row r="131" spans="1:66" ht="17.25" customHeight="1">
      <c r="A131" s="6"/>
      <c r="B131" s="181"/>
      <c r="C131" s="182"/>
      <c r="D131" s="183"/>
      <c r="E131" s="183"/>
      <c r="F131" s="182"/>
      <c r="G131" s="182"/>
      <c r="H131" s="184"/>
      <c r="I131" s="184"/>
      <c r="J131" s="184"/>
      <c r="K131" s="182"/>
      <c r="L131" s="182"/>
      <c r="M131" s="182"/>
      <c r="N131" s="185"/>
      <c r="O131" s="185"/>
      <c r="P131" s="186"/>
      <c r="Q131" s="186"/>
      <c r="R131" s="182"/>
      <c r="S131" s="182"/>
      <c r="T131" s="182"/>
      <c r="U131" s="182"/>
      <c r="V131" s="182"/>
      <c r="W131" s="187"/>
      <c r="X131" s="187"/>
      <c r="Y131" s="187"/>
      <c r="Z131" s="77"/>
      <c r="AA131" s="77"/>
      <c r="AB131" s="188"/>
      <c r="AC131" s="170"/>
    </row>
    <row r="132" spans="1:66" ht="17.25" customHeight="1">
      <c r="A132" s="6"/>
      <c r="B132" s="182"/>
      <c r="C132" s="182"/>
      <c r="D132" s="189"/>
      <c r="E132" s="189"/>
      <c r="F132" s="182"/>
      <c r="G132" s="182"/>
      <c r="H132" s="184"/>
      <c r="I132" s="184"/>
      <c r="J132" s="184"/>
      <c r="K132" s="182"/>
      <c r="L132" s="182"/>
      <c r="M132" s="182"/>
      <c r="N132" s="185"/>
      <c r="O132" s="185"/>
      <c r="P132" s="186"/>
      <c r="Q132" s="186"/>
      <c r="R132" s="182"/>
      <c r="S132" s="182"/>
      <c r="T132" s="182"/>
      <c r="U132" s="182"/>
      <c r="V132" s="182"/>
      <c r="W132" s="187"/>
      <c r="X132" s="187"/>
      <c r="Y132" s="187"/>
      <c r="Z132" s="77"/>
      <c r="AA132" s="77"/>
      <c r="AB132" s="2"/>
      <c r="AC132" s="170"/>
    </row>
    <row r="133" spans="1:66" ht="17.25" customHeight="1">
      <c r="A133" s="6"/>
      <c r="B133" s="182"/>
      <c r="C133" s="182"/>
      <c r="D133" s="189"/>
      <c r="E133" s="189"/>
      <c r="F133" s="182"/>
      <c r="G133" s="182"/>
      <c r="H133" s="184"/>
      <c r="I133" s="184"/>
      <c r="J133" s="184"/>
      <c r="K133" s="182"/>
      <c r="L133" s="182"/>
      <c r="M133" s="182"/>
      <c r="N133" s="185"/>
      <c r="O133" s="185"/>
      <c r="P133" s="186"/>
      <c r="Q133" s="186"/>
      <c r="R133" s="182"/>
      <c r="S133" s="182"/>
      <c r="T133" s="182"/>
      <c r="U133" s="182"/>
      <c r="V133" s="182"/>
      <c r="W133" s="187"/>
      <c r="X133" s="187"/>
      <c r="Y133" s="187"/>
      <c r="Z133" s="77"/>
      <c r="AA133" s="77"/>
      <c r="AB133" s="2"/>
      <c r="AC133" s="170"/>
    </row>
    <row r="134" spans="1:66" ht="17.25" customHeight="1">
      <c r="A134" s="6"/>
      <c r="B134" s="190"/>
      <c r="C134" s="182"/>
      <c r="D134" s="183"/>
      <c r="E134" s="182"/>
      <c r="F134" s="182"/>
      <c r="G134" s="182"/>
      <c r="H134" s="184"/>
      <c r="I134" s="184"/>
      <c r="J134" s="184"/>
      <c r="K134" s="182"/>
      <c r="L134" s="182"/>
      <c r="M134" s="182"/>
      <c r="N134" s="185"/>
      <c r="O134" s="185"/>
      <c r="P134" s="186"/>
      <c r="Q134" s="186"/>
      <c r="R134" s="182"/>
      <c r="S134" s="182"/>
      <c r="T134" s="182"/>
      <c r="U134" s="182"/>
      <c r="V134" s="182"/>
      <c r="W134" s="187"/>
      <c r="X134" s="187"/>
      <c r="Y134" s="187"/>
      <c r="Z134" s="77"/>
      <c r="AA134" s="77"/>
      <c r="AB134" s="2"/>
      <c r="AC134" s="170"/>
    </row>
    <row r="135" spans="1:66" ht="17.25" customHeight="1">
      <c r="A135" s="6"/>
      <c r="B135" s="181"/>
      <c r="C135" s="181"/>
      <c r="D135" s="181"/>
      <c r="E135" s="181"/>
      <c r="F135" s="181"/>
      <c r="G135" s="181"/>
      <c r="H135" s="191"/>
      <c r="I135" s="191"/>
      <c r="J135" s="191"/>
      <c r="K135" s="77"/>
      <c r="L135" s="77"/>
      <c r="M135" s="77"/>
      <c r="N135" s="82"/>
      <c r="O135" s="82"/>
      <c r="P135" s="192"/>
      <c r="Q135" s="192"/>
      <c r="R135" s="77"/>
      <c r="S135" s="77"/>
      <c r="T135" s="77"/>
      <c r="U135" s="77"/>
      <c r="V135" s="77"/>
      <c r="W135" s="193"/>
      <c r="X135" s="193"/>
      <c r="Y135" s="193"/>
      <c r="Z135" s="77"/>
      <c r="AA135" s="77"/>
      <c r="AB135" s="2"/>
      <c r="AC135" s="170"/>
    </row>
    <row r="136" spans="1:66" ht="17.25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76"/>
      <c r="M136" s="76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119"/>
      <c r="Y136" s="129"/>
      <c r="Z136" s="129"/>
      <c r="AA136" s="129"/>
      <c r="AB136" s="62"/>
      <c r="AC136" s="170"/>
    </row>
    <row r="137" spans="1:66" s="5" customFormat="1" ht="17.25" customHeight="1">
      <c r="A137" s="6"/>
      <c r="B137" s="194" t="s">
        <v>192</v>
      </c>
      <c r="C137" s="157"/>
      <c r="D137" s="158"/>
      <c r="E137" s="158"/>
      <c r="F137" s="157"/>
      <c r="G137" s="158"/>
      <c r="H137" s="158"/>
      <c r="I137" s="74"/>
      <c r="J137" s="76"/>
      <c r="K137" s="161"/>
      <c r="L137" s="162"/>
      <c r="M137" s="162"/>
      <c r="N137" s="163"/>
      <c r="O137" s="163"/>
      <c r="P137" s="163"/>
      <c r="Q137" s="163"/>
      <c r="R137" s="163"/>
      <c r="S137" s="77"/>
      <c r="T137" s="77"/>
      <c r="U137" s="77"/>
      <c r="V137" s="77"/>
      <c r="W137" s="77"/>
      <c r="X137" s="119"/>
      <c r="Y137" s="168"/>
      <c r="Z137" s="168"/>
      <c r="AA137" s="168"/>
      <c r="AB137" s="61"/>
      <c r="AC137" s="170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 s="5" customFormat="1" ht="17.25" customHeight="1">
      <c r="A138" s="6"/>
      <c r="B138" s="74"/>
      <c r="C138" s="157"/>
      <c r="D138" s="158"/>
      <c r="E138" s="158"/>
      <c r="F138" s="157"/>
      <c r="G138" s="158"/>
      <c r="H138" s="158"/>
      <c r="I138" s="74"/>
      <c r="J138" s="76"/>
      <c r="K138" s="161"/>
      <c r="L138" s="162"/>
      <c r="M138" s="162"/>
      <c r="N138" s="163"/>
      <c r="O138" s="163"/>
      <c r="P138" s="163"/>
      <c r="Q138" s="163"/>
      <c r="R138" s="163"/>
      <c r="S138" s="77"/>
      <c r="T138" s="77"/>
      <c r="U138" s="77"/>
      <c r="V138" s="77"/>
      <c r="W138" s="77"/>
      <c r="X138" s="119"/>
      <c r="Y138" s="168"/>
      <c r="Z138" s="168"/>
      <c r="AA138" s="168"/>
      <c r="AB138" s="61"/>
      <c r="AC138" s="170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 s="5" customFormat="1" ht="17.25" customHeight="1">
      <c r="A139" s="6"/>
      <c r="B139" s="85" t="s">
        <v>193</v>
      </c>
      <c r="C139" s="157"/>
      <c r="D139" s="158"/>
      <c r="E139" s="158"/>
      <c r="F139" s="157"/>
      <c r="G139" s="158"/>
      <c r="H139" s="158"/>
      <c r="I139" s="74"/>
      <c r="J139" s="76"/>
      <c r="K139" s="161"/>
      <c r="L139" s="162"/>
      <c r="M139" s="162"/>
      <c r="N139" s="163"/>
      <c r="O139" s="163"/>
      <c r="P139" s="163"/>
      <c r="Q139" s="163"/>
      <c r="R139" s="163"/>
      <c r="S139" s="77"/>
      <c r="T139" s="77"/>
      <c r="U139" s="77"/>
      <c r="V139" s="77"/>
      <c r="W139" s="77"/>
      <c r="X139" s="119"/>
      <c r="Y139" s="168"/>
      <c r="Z139" s="168"/>
      <c r="AA139" s="168"/>
      <c r="AB139" s="61"/>
      <c r="AC139" s="170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 ht="17.25" customHeight="1">
      <c r="A140" s="6"/>
      <c r="B140" s="157"/>
      <c r="C140" s="157"/>
      <c r="D140" s="158"/>
      <c r="E140" s="158"/>
      <c r="F140" s="157"/>
      <c r="G140" s="158"/>
      <c r="H140" s="158"/>
      <c r="I140" s="74"/>
      <c r="J140" s="76"/>
      <c r="K140" s="161"/>
      <c r="L140" s="162"/>
      <c r="M140" s="162"/>
      <c r="N140" s="163"/>
      <c r="O140" s="163"/>
      <c r="P140" s="163"/>
      <c r="Q140" s="163"/>
      <c r="R140" s="163"/>
      <c r="S140" s="77"/>
      <c r="T140" s="77"/>
      <c r="U140" s="77"/>
      <c r="V140" s="77"/>
      <c r="W140" s="77"/>
      <c r="X140" s="119"/>
      <c r="Y140" s="168"/>
      <c r="Z140" s="168"/>
      <c r="AA140" s="168"/>
      <c r="AB140" s="61"/>
      <c r="AC140" s="170"/>
    </row>
    <row r="141" spans="1:66" ht="29.25" customHeight="1">
      <c r="A141" s="6"/>
      <c r="B141" s="74" t="s">
        <v>194</v>
      </c>
      <c r="C141" s="73"/>
      <c r="D141" s="74"/>
      <c r="E141" s="74"/>
      <c r="F141" s="73" t="s">
        <v>195</v>
      </c>
      <c r="G141" s="74"/>
      <c r="H141" s="74"/>
      <c r="I141" s="6" t="s">
        <v>196</v>
      </c>
      <c r="J141" s="73" t="s">
        <v>197</v>
      </c>
      <c r="K141" s="73"/>
      <c r="L141" s="76"/>
      <c r="M141" s="76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119"/>
      <c r="Z141" s="76"/>
      <c r="AA141" s="76"/>
      <c r="AB141" s="46"/>
      <c r="AC141" s="170"/>
    </row>
    <row r="142" spans="1:66" ht="29.25" customHeight="1">
      <c r="A142" s="6"/>
      <c r="B142" s="1274" t="s">
        <v>198</v>
      </c>
      <c r="C142" s="1275"/>
      <c r="D142" s="1275"/>
      <c r="E142" s="1275"/>
      <c r="F142" s="1275" t="s">
        <v>199</v>
      </c>
      <c r="G142" s="1275"/>
      <c r="H142" s="1275"/>
      <c r="I142" s="1275"/>
      <c r="J142" s="1275"/>
      <c r="K142" s="1275"/>
      <c r="L142" s="1276" t="s">
        <v>200</v>
      </c>
      <c r="M142" s="1277"/>
      <c r="N142" s="1277"/>
      <c r="O142" s="1277"/>
      <c r="P142" s="1277"/>
      <c r="Q142" s="1277"/>
      <c r="R142" s="1274"/>
      <c r="S142" s="1276" t="s">
        <v>201</v>
      </c>
      <c r="T142" s="1277"/>
      <c r="U142" s="1277"/>
      <c r="V142" s="1277"/>
      <c r="W142" s="1277"/>
      <c r="X142" s="1277"/>
      <c r="Y142" s="1277"/>
      <c r="Z142" s="1277"/>
      <c r="AA142" s="76"/>
      <c r="AB142" s="46"/>
      <c r="AC142" s="42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ht="29.25" customHeight="1">
      <c r="A143" s="6"/>
      <c r="B143" s="1735">
        <f>+Y21</f>
        <v>25.2</v>
      </c>
      <c r="C143" s="1736"/>
      <c r="D143" s="1736"/>
      <c r="E143" s="1736"/>
      <c r="F143" s="1737">
        <f>ROUND(_xlfn.COT(RADIANS(B143))*(L143-1),4)</f>
        <v>26.476700000000001</v>
      </c>
      <c r="G143" s="1737"/>
      <c r="H143" s="1737"/>
      <c r="I143" s="1737"/>
      <c r="J143" s="1737"/>
      <c r="K143" s="1737"/>
      <c r="L143" s="1738">
        <f>ROUND((EXP(2*(3*PI()/4-RADIANS(B143)/2)*TAN(RADIANS(B143)))/(COS(RADIANS(45+B143/2))^2*2))*1.035,3)</f>
        <v>13.459</v>
      </c>
      <c r="M143" s="1754"/>
      <c r="N143" s="1754"/>
      <c r="O143" s="1754"/>
      <c r="P143" s="1754"/>
      <c r="Q143" s="1754"/>
      <c r="R143" s="1755"/>
      <c r="S143" s="1738">
        <f>ROUND((L143+1)*TAN(RADIANS(B143))*2/(1+0.4*SIN(RADIANS(4*B143))),3)</f>
        <v>9.7690000000000001</v>
      </c>
      <c r="T143" s="1754"/>
      <c r="U143" s="1754"/>
      <c r="V143" s="1754"/>
      <c r="W143" s="1754"/>
      <c r="X143" s="1754"/>
      <c r="Y143" s="1754"/>
      <c r="Z143" s="1754"/>
      <c r="AA143" s="129"/>
      <c r="AB143" s="62"/>
      <c r="AC143" s="42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1:66" ht="29.25" customHeight="1">
      <c r="A144" s="6"/>
      <c r="B144" s="74" t="s">
        <v>202</v>
      </c>
      <c r="C144" s="73"/>
      <c r="D144" s="74"/>
      <c r="E144" s="74"/>
      <c r="F144" s="73" t="s">
        <v>195</v>
      </c>
      <c r="G144" s="74"/>
      <c r="H144" s="74"/>
      <c r="I144" s="6" t="s">
        <v>196</v>
      </c>
      <c r="J144" s="73" t="s">
        <v>197</v>
      </c>
      <c r="K144" s="73"/>
      <c r="L144" s="76"/>
      <c r="M144" s="76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119"/>
      <c r="Z144" s="76"/>
      <c r="AA144" s="76"/>
      <c r="AB144" s="46"/>
      <c r="AC144" s="42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1:66" ht="29.25" customHeight="1">
      <c r="A145" s="6"/>
      <c r="B145" s="1274" t="s">
        <v>198</v>
      </c>
      <c r="C145" s="1275"/>
      <c r="D145" s="1275"/>
      <c r="E145" s="1275"/>
      <c r="F145" s="1275" t="s">
        <v>199</v>
      </c>
      <c r="G145" s="1275"/>
      <c r="H145" s="1275"/>
      <c r="I145" s="1275"/>
      <c r="J145" s="1275"/>
      <c r="K145" s="1275"/>
      <c r="L145" s="1275" t="s">
        <v>200</v>
      </c>
      <c r="M145" s="1275"/>
      <c r="N145" s="1275"/>
      <c r="O145" s="1275"/>
      <c r="P145" s="1275"/>
      <c r="Q145" s="1275"/>
      <c r="R145" s="1275"/>
      <c r="S145" s="1275" t="s">
        <v>201</v>
      </c>
      <c r="T145" s="1275"/>
      <c r="U145" s="1275"/>
      <c r="V145" s="1275"/>
      <c r="W145" s="1275"/>
      <c r="X145" s="1275"/>
      <c r="Y145" s="1275"/>
      <c r="Z145" s="1276"/>
      <c r="AA145" s="76"/>
      <c r="AB145" s="46"/>
      <c r="AC145" s="42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1:66" ht="29.25" customHeight="1">
      <c r="A146" s="6"/>
      <c r="B146" s="1735">
        <f>+U119</f>
        <v>25.65</v>
      </c>
      <c r="C146" s="1736"/>
      <c r="D146" s="1736"/>
      <c r="E146" s="1736"/>
      <c r="F146" s="1737">
        <f>ROUND(_xlfn.COT(RADIANS(B146))*(L146-1),4)</f>
        <v>27.3765</v>
      </c>
      <c r="G146" s="1737"/>
      <c r="H146" s="1737"/>
      <c r="I146" s="1737"/>
      <c r="J146" s="1737"/>
      <c r="K146" s="1737"/>
      <c r="L146" s="1737">
        <f>ROUND((EXP(2*(3*PI()/4-RADIANS(B146)/2)*TAN(RADIANS(B146)))/(COS(RADIANS(45+B146/2))^2*2))*1.035,3)</f>
        <v>14.146000000000001</v>
      </c>
      <c r="M146" s="1737"/>
      <c r="N146" s="1737"/>
      <c r="O146" s="1737"/>
      <c r="P146" s="1737"/>
      <c r="Q146" s="1737"/>
      <c r="R146" s="1737"/>
      <c r="S146" s="1737">
        <f>ROUND((L146+1)*TAN(RADIANS(B146))*2/(1+0.4*SIN(RADIANS(4*B146))),3)</f>
        <v>10.462</v>
      </c>
      <c r="T146" s="1737"/>
      <c r="U146" s="1737"/>
      <c r="V146" s="1737"/>
      <c r="W146" s="1737"/>
      <c r="X146" s="1737"/>
      <c r="Y146" s="1737"/>
      <c r="Z146" s="1738"/>
      <c r="AA146" s="76"/>
      <c r="AB146" s="46"/>
      <c r="AC146" s="170"/>
    </row>
    <row r="147" spans="1:66" ht="17.25" customHeight="1">
      <c r="A147" s="6"/>
      <c r="B147" s="76"/>
      <c r="C147" s="76"/>
      <c r="D147" s="76"/>
      <c r="E147" s="76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77"/>
      <c r="S147" s="77"/>
      <c r="T147" s="77"/>
      <c r="U147" s="77"/>
      <c r="V147" s="77"/>
      <c r="W147" s="77"/>
      <c r="X147" s="77"/>
      <c r="Y147" s="119"/>
      <c r="Z147" s="76"/>
      <c r="AA147" s="76"/>
      <c r="AB147" s="46"/>
      <c r="AC147" s="97"/>
    </row>
    <row r="148" spans="1:66" ht="17.25" customHeight="1">
      <c r="A148" s="6"/>
      <c r="B148" s="74"/>
      <c r="C148" s="73"/>
      <c r="D148" s="74"/>
      <c r="E148" s="74"/>
      <c r="F148" s="75"/>
      <c r="G148" s="74"/>
      <c r="H148" s="74"/>
      <c r="I148" s="74"/>
      <c r="J148" s="76"/>
      <c r="K148" s="73"/>
      <c r="L148" s="76"/>
      <c r="M148" s="76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119"/>
      <c r="Z148" s="76"/>
      <c r="AA148" s="76"/>
      <c r="AB148" s="46"/>
      <c r="AC148" s="9"/>
    </row>
    <row r="149" spans="1:66" ht="17.25" customHeight="1" thickBot="1">
      <c r="A149" s="6"/>
      <c r="B149" s="6"/>
      <c r="C149" s="6"/>
      <c r="D149" s="6"/>
      <c r="E149" s="6"/>
      <c r="F149" s="6"/>
      <c r="G149" s="6"/>
      <c r="H149" s="6"/>
      <c r="I149" s="6"/>
      <c r="J149" s="1739" t="s">
        <v>203</v>
      </c>
      <c r="K149" s="1740"/>
      <c r="L149" s="1740"/>
      <c r="M149" s="1740"/>
      <c r="N149" s="1741"/>
      <c r="O149" s="1745" t="s">
        <v>204</v>
      </c>
      <c r="P149" s="1746"/>
      <c r="Q149" s="1746"/>
      <c r="R149" s="1746"/>
      <c r="S149" s="1746"/>
      <c r="T149" s="1746"/>
      <c r="U149" s="1746"/>
      <c r="V149" s="1746"/>
      <c r="W149" s="1746"/>
      <c r="X149" s="1746"/>
      <c r="Y149" s="1746"/>
      <c r="Z149" s="1747"/>
      <c r="AA149" s="77"/>
      <c r="AB149" s="77"/>
      <c r="AC149" s="77"/>
      <c r="AD149" s="196" t="s">
        <v>205</v>
      </c>
      <c r="AE149" s="197" t="s">
        <v>206</v>
      </c>
      <c r="AF149" s="145"/>
      <c r="AG149" s="145"/>
      <c r="AH149" s="145"/>
      <c r="AX149" s="3"/>
      <c r="AY149" s="3"/>
      <c r="AZ149" s="5"/>
      <c r="BA149" s="5"/>
    </row>
    <row r="150" spans="1:66" ht="17.25" customHeight="1" thickTop="1">
      <c r="A150" s="6"/>
      <c r="B150" s="6"/>
      <c r="C150" s="6"/>
      <c r="D150" s="6"/>
      <c r="E150" s="6"/>
      <c r="F150" s="6"/>
      <c r="G150" s="6"/>
      <c r="H150" s="6"/>
      <c r="I150" s="6"/>
      <c r="J150" s="1742"/>
      <c r="K150" s="1743"/>
      <c r="L150" s="1743"/>
      <c r="M150" s="1743"/>
      <c r="N150" s="1744"/>
      <c r="O150" s="1748" t="s">
        <v>207</v>
      </c>
      <c r="P150" s="1749"/>
      <c r="Q150" s="1749"/>
      <c r="R150" s="1750"/>
      <c r="S150" s="1748" t="s">
        <v>208</v>
      </c>
      <c r="T150" s="1749"/>
      <c r="U150" s="1749"/>
      <c r="V150" s="1750"/>
      <c r="W150" s="1751" t="s">
        <v>209</v>
      </c>
      <c r="X150" s="1752"/>
      <c r="Y150" s="1752"/>
      <c r="Z150" s="1753"/>
      <c r="AA150" s="77"/>
      <c r="AB150" s="77"/>
      <c r="AC150" s="77"/>
      <c r="AD150" s="77"/>
      <c r="AE150" s="46"/>
      <c r="AJ150" s="1303" t="s">
        <v>157</v>
      </c>
      <c r="AK150" s="1303"/>
      <c r="AL150" s="1065">
        <f>+G5</f>
        <v>8.4</v>
      </c>
      <c r="AM150" s="1065"/>
      <c r="AX150" s="3"/>
      <c r="AY150" s="3"/>
      <c r="AZ150" s="5"/>
      <c r="BA150" s="5"/>
    </row>
    <row r="151" spans="1:6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198"/>
      <c r="K151" s="198"/>
      <c r="L151" s="199">
        <v>0</v>
      </c>
      <c r="M151" s="198"/>
      <c r="N151" s="200"/>
      <c r="O151" s="198"/>
      <c r="P151" s="1731">
        <v>5.7</v>
      </c>
      <c r="Q151" s="1731"/>
      <c r="R151" s="201"/>
      <c r="S151" s="198"/>
      <c r="T151" s="1733">
        <v>0</v>
      </c>
      <c r="U151" s="1733"/>
      <c r="V151" s="201"/>
      <c r="W151" s="198"/>
      <c r="X151" s="1733">
        <v>1</v>
      </c>
      <c r="Y151" s="1733"/>
      <c r="Z151" s="198"/>
      <c r="AA151" s="77"/>
      <c r="AB151" s="77"/>
      <c r="AC151" s="77"/>
      <c r="AD151" s="77"/>
      <c r="AE151" s="46"/>
      <c r="AH151" s="3" t="s">
        <v>210</v>
      </c>
      <c r="AI151" s="202">
        <v>18</v>
      </c>
      <c r="AJ151" s="1303" t="s">
        <v>211</v>
      </c>
      <c r="AK151" s="1303"/>
      <c r="AL151" s="1065">
        <f>+X5</f>
        <v>6.3</v>
      </c>
      <c r="AM151" s="1065"/>
      <c r="AX151" s="3"/>
      <c r="AY151" s="3"/>
      <c r="AZ151" s="5"/>
      <c r="BA151" s="5"/>
    </row>
    <row r="152" spans="1:6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198"/>
      <c r="K152" s="198"/>
      <c r="L152" s="199">
        <v>5</v>
      </c>
      <c r="M152" s="198"/>
      <c r="N152" s="200"/>
      <c r="O152" s="198"/>
      <c r="P152" s="1731">
        <v>7.4</v>
      </c>
      <c r="Q152" s="1731"/>
      <c r="R152" s="200"/>
      <c r="S152" s="198"/>
      <c r="T152" s="1731">
        <v>0.5</v>
      </c>
      <c r="U152" s="1731"/>
      <c r="V152" s="200"/>
      <c r="W152" s="198"/>
      <c r="X152" s="1731">
        <v>1.6</v>
      </c>
      <c r="Y152" s="1731"/>
      <c r="Z152" s="198"/>
      <c r="AA152" s="77"/>
      <c r="AB152" s="77"/>
      <c r="AC152" s="77"/>
      <c r="AD152" s="77"/>
      <c r="AE152" s="46"/>
      <c r="AH152" s="3" t="s">
        <v>212</v>
      </c>
      <c r="AI152" s="202">
        <v>8</v>
      </c>
      <c r="AJ152" s="1303" t="s">
        <v>213</v>
      </c>
      <c r="AK152" s="1303"/>
      <c r="AL152" s="1065">
        <f>+O5</f>
        <v>7.4</v>
      </c>
      <c r="AM152" s="1065"/>
      <c r="AX152" s="3"/>
      <c r="AY152" s="3"/>
      <c r="AZ152" s="5"/>
      <c r="BA152" s="5"/>
    </row>
    <row r="153" spans="1:6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198"/>
      <c r="K153" s="198"/>
      <c r="L153" s="199">
        <v>10</v>
      </c>
      <c r="M153" s="198"/>
      <c r="N153" s="200"/>
      <c r="O153" s="198"/>
      <c r="P153" s="1731">
        <v>9.6</v>
      </c>
      <c r="Q153" s="1731"/>
      <c r="R153" s="200"/>
      <c r="S153" s="198"/>
      <c r="T153" s="1731">
        <v>1.2</v>
      </c>
      <c r="U153" s="1731"/>
      <c r="V153" s="200"/>
      <c r="W153" s="198"/>
      <c r="X153" s="1731">
        <v>2.7</v>
      </c>
      <c r="Y153" s="1731"/>
      <c r="Z153" s="198"/>
      <c r="AA153" s="77"/>
      <c r="AB153" s="77"/>
      <c r="AC153" s="77"/>
      <c r="AD153" s="77"/>
      <c r="AE153" s="46"/>
      <c r="AX153" s="3"/>
      <c r="AY153" s="3"/>
      <c r="AZ153" s="5"/>
      <c r="BA153" s="5"/>
    </row>
    <row r="154" spans="1:6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198"/>
      <c r="K154" s="198"/>
      <c r="L154" s="199">
        <v>15</v>
      </c>
      <c r="M154" s="198"/>
      <c r="N154" s="200"/>
      <c r="O154" s="198"/>
      <c r="P154" s="1731">
        <v>12.9</v>
      </c>
      <c r="Q154" s="1731"/>
      <c r="R154" s="200"/>
      <c r="S154" s="198"/>
      <c r="T154" s="1731">
        <v>2.5</v>
      </c>
      <c r="U154" s="1731"/>
      <c r="V154" s="200"/>
      <c r="W154" s="198"/>
      <c r="X154" s="1731">
        <v>4.5</v>
      </c>
      <c r="Y154" s="1731"/>
      <c r="Z154" s="198"/>
      <c r="AA154" s="77"/>
      <c r="AB154" s="77"/>
      <c r="AC154" s="77"/>
      <c r="AD154" s="77"/>
      <c r="AE154" s="46"/>
      <c r="AH154" s="171" t="s">
        <v>214</v>
      </c>
      <c r="AK154" s="145">
        <f>+ROUND(((AL151-AL152)*AI151+(AL150-(AL151-AL152))*AI152)/AL150,2)</f>
        <v>6.69</v>
      </c>
      <c r="AX154" s="3"/>
      <c r="AY154" s="3"/>
      <c r="AZ154" s="5"/>
      <c r="BA154" s="5"/>
    </row>
    <row r="155" spans="1:6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198"/>
      <c r="K155" s="198"/>
      <c r="L155" s="199">
        <v>20</v>
      </c>
      <c r="M155" s="198"/>
      <c r="N155" s="200"/>
      <c r="O155" s="198"/>
      <c r="P155" s="1731">
        <v>17.7</v>
      </c>
      <c r="Q155" s="1731"/>
      <c r="R155" s="200"/>
      <c r="S155" s="198"/>
      <c r="T155" s="1734">
        <v>4</v>
      </c>
      <c r="U155" s="1734"/>
      <c r="V155" s="200"/>
      <c r="W155" s="198"/>
      <c r="X155" s="1731">
        <v>7.4</v>
      </c>
      <c r="Y155" s="1731"/>
      <c r="Z155" s="198"/>
      <c r="AA155" s="77"/>
      <c r="AB155" s="77"/>
      <c r="AC155" s="77"/>
      <c r="AD155" s="77"/>
      <c r="AE155" s="46"/>
      <c r="AH155" s="171" t="s">
        <v>215</v>
      </c>
      <c r="AK155" s="145">
        <f>ROUND(IF(AL152&lt;AL151,AI151,((AL151*AI151)+(AL152-AL151)*AI152)/AL152),2)</f>
        <v>16.510000000000002</v>
      </c>
      <c r="AX155" s="3"/>
      <c r="AY155" s="3"/>
      <c r="AZ155" s="5"/>
      <c r="BA155" s="5"/>
    </row>
    <row r="156" spans="1:6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198"/>
      <c r="K156" s="198"/>
      <c r="L156" s="199">
        <v>25</v>
      </c>
      <c r="M156" s="198"/>
      <c r="N156" s="200"/>
      <c r="O156" s="198"/>
      <c r="P156" s="1731">
        <v>25.2</v>
      </c>
      <c r="Q156" s="1731"/>
      <c r="R156" s="200"/>
      <c r="S156" s="198"/>
      <c r="T156" s="1731">
        <v>9.6999999999999993</v>
      </c>
      <c r="U156" s="1731"/>
      <c r="V156" s="200"/>
      <c r="W156" s="198"/>
      <c r="X156" s="1731">
        <v>12.7</v>
      </c>
      <c r="Y156" s="1731"/>
      <c r="Z156" s="198"/>
      <c r="AA156" s="77"/>
      <c r="AB156" s="77"/>
      <c r="AC156" s="77"/>
      <c r="AD156" s="77"/>
      <c r="AE156" s="46"/>
      <c r="AX156" s="3"/>
      <c r="AY156" s="3"/>
      <c r="AZ156" s="5"/>
      <c r="BA156" s="5"/>
    </row>
    <row r="157" spans="1:6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198"/>
      <c r="K157" s="198"/>
      <c r="L157" s="199">
        <v>30</v>
      </c>
      <c r="M157" s="198"/>
      <c r="N157" s="200"/>
      <c r="O157" s="198"/>
      <c r="P157" s="1731">
        <v>37.200000000000003</v>
      </c>
      <c r="Q157" s="1731"/>
      <c r="R157" s="200"/>
      <c r="S157" s="198"/>
      <c r="T157" s="1731">
        <v>19.7</v>
      </c>
      <c r="U157" s="1731"/>
      <c r="V157" s="200"/>
      <c r="W157" s="198"/>
      <c r="X157" s="1731">
        <v>22.5</v>
      </c>
      <c r="Y157" s="1731"/>
      <c r="Z157" s="198"/>
      <c r="AA157" s="77"/>
      <c r="AB157" s="77"/>
      <c r="AC157" s="77"/>
      <c r="AD157" s="77"/>
      <c r="AE157" s="46"/>
      <c r="AX157" s="3"/>
      <c r="AY157" s="3"/>
      <c r="AZ157" s="5"/>
      <c r="BA157" s="5"/>
    </row>
    <row r="158" spans="1:6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198"/>
      <c r="K158" s="198"/>
      <c r="L158" s="199">
        <v>32</v>
      </c>
      <c r="M158" s="198"/>
      <c r="N158" s="200"/>
      <c r="O158" s="198"/>
      <c r="P158" s="1733">
        <v>44</v>
      </c>
      <c r="Q158" s="1733"/>
      <c r="R158" s="200"/>
      <c r="S158" s="198"/>
      <c r="T158" s="1731">
        <v>26.9</v>
      </c>
      <c r="U158" s="1731"/>
      <c r="V158" s="200"/>
      <c r="W158" s="198"/>
      <c r="X158" s="1731">
        <v>28.5</v>
      </c>
      <c r="Y158" s="1731"/>
      <c r="Z158" s="198"/>
      <c r="AA158" s="77"/>
      <c r="AB158" s="77"/>
      <c r="AC158" s="77"/>
      <c r="AD158" s="77"/>
      <c r="AE158" s="46"/>
      <c r="AX158" s="3"/>
      <c r="AY158" s="3"/>
      <c r="AZ158" s="5"/>
      <c r="BA158" s="5"/>
    </row>
    <row r="159" spans="1:6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198"/>
      <c r="K159" s="198"/>
      <c r="L159" s="199">
        <v>35</v>
      </c>
      <c r="M159" s="198"/>
      <c r="N159" s="200"/>
      <c r="O159" s="198"/>
      <c r="P159" s="1731">
        <v>57.8</v>
      </c>
      <c r="Q159" s="1731"/>
      <c r="R159" s="200"/>
      <c r="S159" s="198"/>
      <c r="T159" s="1731">
        <v>42.5</v>
      </c>
      <c r="U159" s="1731"/>
      <c r="V159" s="200"/>
      <c r="W159" s="198"/>
      <c r="X159" s="1731">
        <v>41.4</v>
      </c>
      <c r="Y159" s="1731"/>
      <c r="Z159" s="198"/>
      <c r="AA159" s="77"/>
      <c r="AB159" s="77"/>
      <c r="AC159" s="77"/>
      <c r="AD159" s="77"/>
      <c r="AE159" s="46"/>
      <c r="AX159" s="3"/>
      <c r="AY159" s="3"/>
      <c r="AZ159" s="5"/>
      <c r="BA159" s="5"/>
    </row>
    <row r="160" spans="1:6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198"/>
      <c r="K160" s="198"/>
      <c r="L160" s="199">
        <v>40</v>
      </c>
      <c r="M160" s="198"/>
      <c r="N160" s="200"/>
      <c r="O160" s="198"/>
      <c r="P160" s="1731">
        <v>95.7</v>
      </c>
      <c r="Q160" s="1731"/>
      <c r="R160" s="200"/>
      <c r="S160" s="198"/>
      <c r="T160" s="1731">
        <v>100.4</v>
      </c>
      <c r="U160" s="1731"/>
      <c r="V160" s="200"/>
      <c r="W160" s="198"/>
      <c r="X160" s="1731">
        <v>81.3</v>
      </c>
      <c r="Y160" s="1731"/>
      <c r="Z160" s="198"/>
      <c r="AA160" s="77"/>
      <c r="AB160" s="77"/>
      <c r="AC160" s="77"/>
      <c r="AD160" s="77"/>
      <c r="AE160" s="46"/>
      <c r="AF160" s="9"/>
      <c r="AX160" s="3"/>
      <c r="AY160" s="3"/>
      <c r="BA160" s="5"/>
      <c r="BB160" s="5"/>
    </row>
    <row r="161" spans="1:54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198"/>
      <c r="K161" s="198"/>
      <c r="L161" s="199">
        <v>45</v>
      </c>
      <c r="M161" s="198"/>
      <c r="N161" s="200"/>
      <c r="O161" s="198"/>
      <c r="P161" s="1731">
        <v>172.3</v>
      </c>
      <c r="Q161" s="1731"/>
      <c r="R161" s="200"/>
      <c r="S161" s="198"/>
      <c r="T161" s="1731">
        <v>297.5</v>
      </c>
      <c r="U161" s="1731"/>
      <c r="V161" s="200"/>
      <c r="W161" s="198"/>
      <c r="X161" s="1731">
        <v>173.3</v>
      </c>
      <c r="Y161" s="1731"/>
      <c r="Z161" s="198"/>
      <c r="AA161" s="77"/>
      <c r="AB161" s="77"/>
      <c r="AC161" s="77"/>
      <c r="AD161" s="77"/>
      <c r="AE161" s="46"/>
      <c r="AF161" s="2"/>
      <c r="AX161" s="3"/>
      <c r="AY161" s="3"/>
      <c r="BA161" s="5"/>
      <c r="BB161" s="5"/>
    </row>
    <row r="162" spans="1:54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198"/>
      <c r="K162" s="198"/>
      <c r="L162" s="199">
        <v>48</v>
      </c>
      <c r="M162" s="198"/>
      <c r="N162" s="200"/>
      <c r="O162" s="198"/>
      <c r="P162" s="1731">
        <v>258.3</v>
      </c>
      <c r="Q162" s="1731"/>
      <c r="R162" s="200"/>
      <c r="S162" s="198"/>
      <c r="T162" s="1731">
        <v>780.1</v>
      </c>
      <c r="U162" s="1731"/>
      <c r="V162" s="200"/>
      <c r="W162" s="198"/>
      <c r="X162" s="1731">
        <v>287.89999999999998</v>
      </c>
      <c r="Y162" s="1731"/>
      <c r="Z162" s="198"/>
      <c r="AA162" s="77"/>
      <c r="AB162" s="77"/>
      <c r="AC162" s="77"/>
      <c r="AD162" s="77"/>
      <c r="AE162" s="46"/>
      <c r="AF162" s="2"/>
      <c r="AX162" s="3"/>
      <c r="AY162" s="3"/>
      <c r="BA162" s="5"/>
      <c r="BB162" s="5"/>
    </row>
    <row r="163" spans="1:54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203"/>
      <c r="K163" s="203"/>
      <c r="L163" s="204">
        <v>50</v>
      </c>
      <c r="M163" s="203"/>
      <c r="N163" s="205"/>
      <c r="O163" s="203"/>
      <c r="P163" s="1732">
        <v>347.5</v>
      </c>
      <c r="Q163" s="1732"/>
      <c r="R163" s="205"/>
      <c r="S163" s="203"/>
      <c r="T163" s="1732">
        <v>1153.2</v>
      </c>
      <c r="U163" s="1732"/>
      <c r="V163" s="205"/>
      <c r="W163" s="203"/>
      <c r="X163" s="1732">
        <v>415.1</v>
      </c>
      <c r="Y163" s="1732"/>
      <c r="Z163" s="203"/>
      <c r="AA163" s="77"/>
      <c r="AB163" s="77"/>
      <c r="AC163" s="77"/>
      <c r="AD163" s="77"/>
      <c r="AE163" s="46"/>
      <c r="AF163" s="2"/>
      <c r="AX163" s="3"/>
      <c r="AY163" s="3"/>
      <c r="BA163" s="5"/>
      <c r="BB163" s="5"/>
    </row>
    <row r="164" spans="1:54" ht="17.25" customHeight="1">
      <c r="A164" s="6"/>
      <c r="B164" s="198"/>
      <c r="C164" s="198"/>
      <c r="D164" s="199"/>
      <c r="E164" s="198"/>
      <c r="F164" s="198"/>
      <c r="G164" s="198"/>
      <c r="H164" s="199"/>
      <c r="I164" s="199"/>
      <c r="J164" s="198"/>
      <c r="K164" s="198"/>
      <c r="L164" s="199"/>
      <c r="M164" s="199"/>
      <c r="N164" s="198"/>
      <c r="O164" s="198"/>
      <c r="P164" s="199"/>
      <c r="Q164" s="199"/>
      <c r="R164" s="198"/>
      <c r="S164" s="77"/>
      <c r="T164" s="77"/>
      <c r="U164" s="77"/>
      <c r="V164" s="77"/>
      <c r="W164" s="77"/>
      <c r="X164" s="77"/>
      <c r="Y164" s="119"/>
      <c r="Z164" s="76"/>
      <c r="AA164" s="76"/>
      <c r="AB164" s="46"/>
      <c r="AC164" s="2"/>
    </row>
    <row r="165" spans="1:54" ht="17.25" customHeight="1">
      <c r="A165" s="6"/>
      <c r="B165" s="198"/>
      <c r="C165" s="198"/>
      <c r="D165" s="199"/>
      <c r="E165" s="198"/>
      <c r="F165" s="198"/>
      <c r="G165" s="198"/>
      <c r="H165" s="199"/>
      <c r="I165" s="199"/>
      <c r="J165" s="198"/>
      <c r="K165" s="198"/>
      <c r="L165" s="199"/>
      <c r="M165" s="199"/>
      <c r="N165" s="198"/>
      <c r="O165" s="198"/>
      <c r="P165" s="199"/>
      <c r="Q165" s="199"/>
      <c r="R165" s="198"/>
      <c r="S165" s="77"/>
      <c r="T165" s="77"/>
      <c r="U165" s="77"/>
      <c r="V165" s="77"/>
      <c r="W165" s="77"/>
      <c r="X165" s="77"/>
      <c r="Y165" s="119"/>
      <c r="Z165" s="76"/>
      <c r="AA165" s="76"/>
      <c r="AB165" s="46"/>
      <c r="AC165" s="2"/>
    </row>
    <row r="166" spans="1:54" ht="17.25" customHeight="1">
      <c r="A166" s="6"/>
      <c r="B166" s="1726" t="s">
        <v>216</v>
      </c>
      <c r="C166" s="1726"/>
      <c r="D166" s="1726"/>
      <c r="E166" s="206" t="s">
        <v>217</v>
      </c>
      <c r="F166" s="207" t="s">
        <v>218</v>
      </c>
      <c r="G166" s="206"/>
      <c r="H166" s="206"/>
      <c r="I166" s="206"/>
      <c r="J166" s="206"/>
      <c r="K166" s="206"/>
      <c r="L166" s="76"/>
      <c r="M166" s="76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119"/>
      <c r="Z166" s="76"/>
      <c r="AA166" s="76"/>
      <c r="AB166" s="46"/>
      <c r="AC166" s="2"/>
    </row>
    <row r="167" spans="1:54" ht="29.25" customHeight="1">
      <c r="A167" s="39"/>
      <c r="B167" s="1727" t="s">
        <v>219</v>
      </c>
      <c r="C167" s="1727"/>
      <c r="D167" s="1727"/>
      <c r="E167" s="1727"/>
      <c r="F167" s="1727"/>
      <c r="G167" s="1728"/>
      <c r="H167" s="1729" t="s">
        <v>220</v>
      </c>
      <c r="I167" s="1729"/>
      <c r="J167" s="1730"/>
      <c r="K167" s="1716" t="s">
        <v>221</v>
      </c>
      <c r="L167" s="1716"/>
      <c r="M167" s="1716"/>
      <c r="N167" s="1716"/>
      <c r="O167" s="1716"/>
      <c r="P167" s="1716" t="s">
        <v>222</v>
      </c>
      <c r="Q167" s="1716"/>
      <c r="R167" s="1716"/>
      <c r="S167" s="1716"/>
      <c r="T167" s="1716"/>
      <c r="U167" s="1716" t="s">
        <v>223</v>
      </c>
      <c r="V167" s="1716"/>
      <c r="W167" s="1716"/>
      <c r="X167" s="1716" t="s">
        <v>224</v>
      </c>
      <c r="Y167" s="1716"/>
      <c r="Z167" s="1717"/>
      <c r="AA167" s="39"/>
      <c r="AB167" s="42"/>
    </row>
    <row r="168" spans="1:54" ht="29.25" customHeight="1">
      <c r="A168" s="39"/>
      <c r="B168" s="1528" t="s">
        <v>225</v>
      </c>
      <c r="C168" s="1528"/>
      <c r="D168" s="1528"/>
      <c r="E168" s="1528"/>
      <c r="F168" s="1528"/>
      <c r="G168" s="1529"/>
      <c r="H168" s="1042"/>
      <c r="I168" s="1042"/>
      <c r="J168" s="1043"/>
      <c r="K168" s="1718"/>
      <c r="L168" s="1718"/>
      <c r="M168" s="1718"/>
      <c r="N168" s="1718"/>
      <c r="O168" s="1718"/>
      <c r="P168" s="1718"/>
      <c r="Q168" s="1718"/>
      <c r="R168" s="1718"/>
      <c r="S168" s="1718"/>
      <c r="T168" s="1718"/>
      <c r="U168" s="1718"/>
      <c r="V168" s="1718"/>
      <c r="W168" s="1718"/>
      <c r="X168" s="1718"/>
      <c r="Y168" s="1718"/>
      <c r="Z168" s="1719"/>
      <c r="AA168" s="39"/>
      <c r="AB168" s="42"/>
    </row>
    <row r="169" spans="1:54" ht="29.25" customHeight="1">
      <c r="A169" s="39"/>
      <c r="B169" s="1720" t="s">
        <v>226</v>
      </c>
      <c r="C169" s="1720"/>
      <c r="D169" s="1720"/>
      <c r="E169" s="1720"/>
      <c r="F169" s="1720"/>
      <c r="G169" s="1721"/>
      <c r="H169" s="1722">
        <v>1</v>
      </c>
      <c r="I169" s="1722"/>
      <c r="J169" s="1722"/>
      <c r="K169" s="1722">
        <v>1.3</v>
      </c>
      <c r="L169" s="1722"/>
      <c r="M169" s="1722"/>
      <c r="N169" s="1722"/>
      <c r="O169" s="1722"/>
      <c r="P169" s="1723" t="s">
        <v>227</v>
      </c>
      <c r="Q169" s="1723"/>
      <c r="R169" s="1723"/>
      <c r="S169" s="1723"/>
      <c r="T169" s="1723"/>
      <c r="U169" s="1722">
        <v>1.3</v>
      </c>
      <c r="V169" s="1722"/>
      <c r="W169" s="1722"/>
      <c r="X169" s="1724" t="str">
        <f>FIXED(1+0.3*G5/K5,2)</f>
        <v>1.29</v>
      </c>
      <c r="Y169" s="1724"/>
      <c r="Z169" s="1725"/>
      <c r="AA169" s="39"/>
      <c r="AB169" s="42"/>
      <c r="AD169" s="145" t="s">
        <v>228</v>
      </c>
    </row>
    <row r="170" spans="1:54" ht="29.25" customHeight="1">
      <c r="A170" s="39"/>
      <c r="B170" s="1038" t="s">
        <v>229</v>
      </c>
      <c r="C170" s="1038"/>
      <c r="D170" s="1038"/>
      <c r="E170" s="1038"/>
      <c r="F170" s="1038"/>
      <c r="G170" s="1039"/>
      <c r="H170" s="1712">
        <v>0.5</v>
      </c>
      <c r="I170" s="1712"/>
      <c r="J170" s="1712"/>
      <c r="K170" s="1712">
        <v>0.4</v>
      </c>
      <c r="L170" s="1712"/>
      <c r="M170" s="1712"/>
      <c r="N170" s="1712"/>
      <c r="O170" s="1712"/>
      <c r="P170" s="1713" t="s">
        <v>230</v>
      </c>
      <c r="Q170" s="1713"/>
      <c r="R170" s="1713"/>
      <c r="S170" s="1713"/>
      <c r="T170" s="1713"/>
      <c r="U170" s="1712">
        <v>0.3</v>
      </c>
      <c r="V170" s="1712"/>
      <c r="W170" s="1712"/>
      <c r="X170" s="1714" t="str">
        <f>FIXED(0.5-0.1*G5/K5,2)</f>
        <v>0.40</v>
      </c>
      <c r="Y170" s="1714"/>
      <c r="Z170" s="1715"/>
      <c r="AA170" s="39"/>
      <c r="AB170" s="42"/>
    </row>
    <row r="171" spans="1:54" ht="17.25" customHeight="1">
      <c r="A171" s="39"/>
      <c r="B171" s="208"/>
      <c r="C171" s="208"/>
      <c r="D171" s="208"/>
      <c r="E171" s="208"/>
      <c r="F171" s="208"/>
      <c r="G171" s="208"/>
      <c r="H171" s="209"/>
      <c r="I171" s="209"/>
      <c r="J171" s="209"/>
      <c r="K171" s="209"/>
      <c r="L171" s="209"/>
      <c r="M171" s="209"/>
      <c r="N171" s="210"/>
      <c r="O171" s="210"/>
      <c r="P171" s="210"/>
      <c r="Q171" s="209"/>
      <c r="R171" s="209"/>
      <c r="S171" s="209"/>
      <c r="T171" s="211"/>
      <c r="U171" s="211"/>
      <c r="V171" s="211"/>
      <c r="W171" s="39"/>
      <c r="X171" s="39"/>
      <c r="Y171" s="39"/>
      <c r="Z171" s="39"/>
      <c r="AA171" s="39"/>
      <c r="AB171" s="42"/>
    </row>
    <row r="172" spans="1:54" ht="17.25" customHeight="1">
      <c r="A172" s="6"/>
      <c r="B172" s="74"/>
      <c r="C172" s="73"/>
      <c r="D172" s="74"/>
      <c r="E172" s="74"/>
      <c r="F172" s="75"/>
      <c r="G172" s="74"/>
      <c r="H172" s="74"/>
      <c r="I172" s="74"/>
      <c r="J172" s="76"/>
      <c r="K172" s="73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119"/>
      <c r="Z172" s="76"/>
      <c r="AA172" s="76"/>
      <c r="AB172" s="46"/>
    </row>
    <row r="173" spans="1:54" ht="17.25" customHeight="1">
      <c r="A173" s="6"/>
      <c r="B173" s="74"/>
      <c r="C173" s="73"/>
      <c r="D173" s="74"/>
      <c r="E173" s="74"/>
      <c r="F173" s="75"/>
      <c r="G173" s="74"/>
      <c r="H173" s="74"/>
      <c r="I173" s="74"/>
      <c r="J173" s="76"/>
      <c r="K173" s="73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119"/>
      <c r="Z173" s="76"/>
      <c r="AA173" s="76"/>
      <c r="AB173" s="46"/>
    </row>
    <row r="174" spans="1:54" ht="17.25" customHeight="1">
      <c r="A174" s="6"/>
      <c r="B174" s="8"/>
      <c r="C174" s="55"/>
      <c r="D174" s="8"/>
      <c r="E174" s="8"/>
      <c r="F174" s="63"/>
      <c r="G174" s="8"/>
      <c r="H174" s="8"/>
      <c r="I174" s="8"/>
      <c r="J174" s="46"/>
      <c r="K174" s="55"/>
      <c r="L174" s="46"/>
      <c r="M174" s="4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58"/>
      <c r="Z174" s="46"/>
      <c r="AA174" s="46"/>
      <c r="AB174" s="46"/>
    </row>
    <row r="175" spans="1:54" ht="17.25" customHeight="1">
      <c r="A175" s="212"/>
      <c r="B175" s="82" t="s">
        <v>231</v>
      </c>
      <c r="C175" s="6"/>
      <c r="D175" s="6"/>
      <c r="E175" s="82"/>
      <c r="F175" s="21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 spans="1:54" ht="17.25" customHeight="1">
      <c r="A176" s="6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9" ht="30" customHeight="1">
      <c r="A177" s="6"/>
      <c r="B177" s="1517" t="s">
        <v>157</v>
      </c>
      <c r="C177" s="1518"/>
      <c r="D177" s="1518"/>
      <c r="E177" s="1518"/>
      <c r="F177" s="1084" t="s">
        <v>158</v>
      </c>
      <c r="G177" s="1084"/>
      <c r="H177" s="1084"/>
      <c r="I177" s="1084"/>
      <c r="J177" s="1311" t="s">
        <v>232</v>
      </c>
      <c r="K177" s="1312"/>
      <c r="L177" s="1313"/>
      <c r="M177" s="1311" t="s">
        <v>233</v>
      </c>
      <c r="N177" s="1312"/>
      <c r="O177" s="1313"/>
      <c r="P177" s="1311" t="s">
        <v>234</v>
      </c>
      <c r="Q177" s="1312"/>
      <c r="R177" s="1313"/>
      <c r="S177" s="1311" t="s">
        <v>235</v>
      </c>
      <c r="T177" s="1312"/>
      <c r="U177" s="1313"/>
      <c r="V177" s="1311" t="s">
        <v>236</v>
      </c>
      <c r="W177" s="1312"/>
      <c r="X177" s="1312"/>
      <c r="Y177" s="1312"/>
      <c r="Z177" s="1312"/>
      <c r="AA177" s="77"/>
      <c r="AB177" s="77"/>
    </row>
    <row r="178" spans="1:29" ht="30" customHeight="1">
      <c r="A178" s="6"/>
      <c r="B178" s="1238">
        <f>$G$5</f>
        <v>8.4</v>
      </c>
      <c r="C178" s="1525"/>
      <c r="D178" s="1525"/>
      <c r="E178" s="1525"/>
      <c r="F178" s="1332">
        <f>$K$5</f>
        <v>8.8000000000000007</v>
      </c>
      <c r="G178" s="1332"/>
      <c r="H178" s="1332"/>
      <c r="I178" s="1332"/>
      <c r="J178" s="1251">
        <f>+$O$5</f>
        <v>7.4</v>
      </c>
      <c r="K178" s="1252"/>
      <c r="L178" s="1253"/>
      <c r="M178" s="1251">
        <f>+$S$5</f>
        <v>150</v>
      </c>
      <c r="N178" s="1252"/>
      <c r="O178" s="1253"/>
      <c r="P178" s="1251">
        <f>+$AK$154</f>
        <v>6.69</v>
      </c>
      <c r="Q178" s="1252"/>
      <c r="R178" s="1253"/>
      <c r="S178" s="1542">
        <f>+$AK$155</f>
        <v>16.510000000000002</v>
      </c>
      <c r="T178" s="1543"/>
      <c r="U178" s="1544"/>
      <c r="V178" s="1308">
        <f>+Y19</f>
        <v>5.6</v>
      </c>
      <c r="W178" s="1309"/>
      <c r="X178" s="1309"/>
      <c r="Y178" s="1309"/>
      <c r="Z178" s="1309"/>
      <c r="AA178" s="77"/>
      <c r="AB178" s="77"/>
    </row>
    <row r="179" spans="1:29" ht="17.25" customHeight="1">
      <c r="A179" s="6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9" ht="17.25" customHeight="1">
      <c r="A180" s="6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9" ht="17.25" customHeight="1">
      <c r="A181" s="77"/>
      <c r="B181" s="77" t="s">
        <v>237</v>
      </c>
      <c r="C181" s="213"/>
      <c r="D181" s="77" t="s">
        <v>238</v>
      </c>
      <c r="E181" s="77" t="s">
        <v>239</v>
      </c>
      <c r="F181" s="77"/>
      <c r="G181" s="77"/>
      <c r="H181" s="77"/>
      <c r="I181" s="77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</row>
    <row r="182" spans="1:29" ht="17.25" customHeight="1">
      <c r="A182" s="77"/>
      <c r="B182" s="77"/>
      <c r="C182" s="213"/>
      <c r="D182" s="77"/>
      <c r="E182" s="77"/>
      <c r="F182" s="77"/>
      <c r="G182" s="77"/>
      <c r="H182" s="77"/>
      <c r="I182" s="77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97"/>
    </row>
    <row r="183" spans="1:29" ht="17.25" customHeight="1">
      <c r="A183" s="77"/>
      <c r="B183" s="77"/>
      <c r="C183" s="213"/>
      <c r="D183" s="213"/>
      <c r="E183" s="213" t="s">
        <v>240</v>
      </c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215"/>
      <c r="AC183" s="9"/>
    </row>
    <row r="184" spans="1:29" ht="17.25" customHeight="1">
      <c r="A184" s="77"/>
      <c r="B184" s="77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215"/>
      <c r="AC184" s="216"/>
    </row>
    <row r="185" spans="1:29" ht="17.25" customHeight="1">
      <c r="A185" s="77"/>
      <c r="B185" s="77"/>
      <c r="C185" s="213"/>
      <c r="D185" s="213"/>
      <c r="E185" s="213" t="s">
        <v>241</v>
      </c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215"/>
      <c r="AC185" s="216"/>
    </row>
    <row r="186" spans="1:29" ht="17.25" customHeight="1">
      <c r="A186" s="77"/>
      <c r="B186" s="77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215"/>
      <c r="AC186" s="217"/>
    </row>
    <row r="187" spans="1:29" ht="17.25" customHeight="1">
      <c r="A187" s="77"/>
      <c r="B187" s="77"/>
      <c r="C187" s="213"/>
      <c r="D187" s="213"/>
      <c r="E187" s="213" t="s">
        <v>242</v>
      </c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217"/>
    </row>
    <row r="188" spans="1:29" ht="17.25" customHeight="1">
      <c r="A188" s="77"/>
      <c r="B188" s="77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217"/>
    </row>
    <row r="189" spans="1:29" ht="17.25" customHeight="1">
      <c r="A189" s="77"/>
      <c r="B189" s="77"/>
      <c r="C189" s="213"/>
      <c r="D189" s="77"/>
      <c r="E189" s="77" t="s">
        <v>243</v>
      </c>
      <c r="F189" s="77"/>
      <c r="G189" s="77"/>
      <c r="H189" s="77"/>
      <c r="I189" s="77"/>
      <c r="J189" s="21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217"/>
    </row>
    <row r="190" spans="1:29" ht="17.25" customHeight="1">
      <c r="A190" s="77"/>
      <c r="B190" s="77"/>
      <c r="C190" s="213"/>
      <c r="D190" s="77"/>
      <c r="E190" s="77"/>
      <c r="F190" s="77"/>
      <c r="G190" s="77"/>
      <c r="H190" s="77"/>
      <c r="I190" s="77"/>
      <c r="J190" s="21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9"/>
    </row>
    <row r="191" spans="1:29" ht="17.25" customHeight="1">
      <c r="A191" s="77"/>
      <c r="B191" s="77"/>
      <c r="C191" s="77"/>
      <c r="D191" s="77"/>
      <c r="E191" s="77" t="s">
        <v>244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9"/>
    </row>
    <row r="192" spans="1:29" ht="17.25" customHeight="1">
      <c r="A192" s="6"/>
      <c r="B192" s="13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9"/>
    </row>
    <row r="193" spans="1:29" ht="17.25" customHeight="1">
      <c r="A193" s="6"/>
      <c r="B193" s="85"/>
      <c r="C193" s="157"/>
      <c r="D193" s="158"/>
      <c r="E193" s="73" t="s">
        <v>245</v>
      </c>
      <c r="F193" s="157"/>
      <c r="G193" s="158"/>
      <c r="H193" s="158"/>
      <c r="I193" s="74"/>
      <c r="J193" s="76"/>
      <c r="K193" s="73"/>
      <c r="L193" s="76"/>
      <c r="M193" s="119" t="s">
        <v>90</v>
      </c>
      <c r="N193" s="1702">
        <f>+Y19</f>
        <v>5.6</v>
      </c>
      <c r="O193" s="1702"/>
      <c r="P193" s="1702"/>
      <c r="Q193" s="1703" t="s">
        <v>15</v>
      </c>
      <c r="R193" s="1703"/>
      <c r="S193" s="77"/>
      <c r="T193" s="77"/>
      <c r="U193" s="77"/>
      <c r="V193" s="77"/>
      <c r="W193" s="77"/>
      <c r="X193" s="85"/>
      <c r="Y193" s="85"/>
      <c r="Z193" s="85"/>
      <c r="AA193" s="85"/>
      <c r="AB193" s="77"/>
      <c r="AC193" s="9"/>
    </row>
    <row r="194" spans="1:29" ht="17.25" customHeight="1">
      <c r="A194" s="6"/>
      <c r="B194" s="157"/>
      <c r="C194" s="157"/>
      <c r="D194" s="158"/>
      <c r="E194" s="158"/>
      <c r="F194" s="157"/>
      <c r="G194" s="158"/>
      <c r="H194" s="158"/>
      <c r="I194" s="74"/>
      <c r="J194" s="76"/>
      <c r="K194" s="73"/>
      <c r="L194" s="76"/>
      <c r="M194" s="76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119"/>
      <c r="Y194" s="129"/>
      <c r="Z194" s="129"/>
      <c r="AA194" s="129"/>
      <c r="AB194" s="77"/>
      <c r="AC194" s="9"/>
    </row>
    <row r="195" spans="1:29" ht="17.25" customHeight="1">
      <c r="A195" s="6"/>
      <c r="B195" s="85"/>
      <c r="C195" s="157"/>
      <c r="D195" s="158"/>
      <c r="E195" s="73" t="s">
        <v>246</v>
      </c>
      <c r="F195" s="157"/>
      <c r="G195" s="158"/>
      <c r="H195" s="158"/>
      <c r="I195" s="74"/>
      <c r="J195" s="76"/>
      <c r="K195" s="73"/>
      <c r="L195" s="76"/>
      <c r="M195" s="119" t="s">
        <v>90</v>
      </c>
      <c r="N195" s="1704">
        <f>+Y21</f>
        <v>25.2</v>
      </c>
      <c r="O195" s="1704"/>
      <c r="P195" s="1704"/>
      <c r="Q195" s="1705" t="s">
        <v>131</v>
      </c>
      <c r="R195" s="1068"/>
      <c r="S195" s="77"/>
      <c r="T195" s="77"/>
      <c r="U195" s="77"/>
      <c r="V195" s="77"/>
      <c r="W195" s="77"/>
      <c r="X195" s="85"/>
      <c r="Y195" s="85"/>
      <c r="Z195" s="85"/>
      <c r="AA195" s="85"/>
      <c r="AB195" s="77"/>
      <c r="AC195" s="9"/>
    </row>
    <row r="196" spans="1:29" ht="17.25" customHeight="1">
      <c r="A196" s="6"/>
      <c r="B196" s="157"/>
      <c r="C196" s="157"/>
      <c r="D196" s="158"/>
      <c r="E196" s="158"/>
      <c r="F196" s="157"/>
      <c r="G196" s="158"/>
      <c r="H196" s="158"/>
      <c r="I196" s="74"/>
      <c r="J196" s="76"/>
      <c r="K196" s="161"/>
      <c r="L196" s="162"/>
      <c r="M196" s="162"/>
      <c r="N196" s="163"/>
      <c r="O196" s="163"/>
      <c r="P196" s="163"/>
      <c r="Q196" s="77"/>
      <c r="R196" s="77"/>
      <c r="S196" s="77"/>
      <c r="T196" s="77"/>
      <c r="U196" s="77"/>
      <c r="V196" s="77"/>
      <c r="W196" s="77"/>
      <c r="X196" s="119"/>
      <c r="Y196" s="1702"/>
      <c r="Z196" s="1702"/>
      <c r="AA196" s="1702"/>
      <c r="AB196" s="77"/>
      <c r="AC196" s="2"/>
    </row>
    <row r="197" spans="1:29" ht="17.25" customHeight="1">
      <c r="A197" s="6"/>
      <c r="B197" s="13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2"/>
    </row>
    <row r="198" spans="1:29" ht="17.25" customHeight="1">
      <c r="A198" s="6"/>
      <c r="B198" s="77"/>
      <c r="C198" s="1068" t="s">
        <v>237</v>
      </c>
      <c r="D198" s="1068"/>
      <c r="E198" s="76" t="s">
        <v>90</v>
      </c>
      <c r="F198" s="1706" t="str">
        <f>X169</f>
        <v>1.29</v>
      </c>
      <c r="G198" s="1706"/>
      <c r="H198" s="76" t="s">
        <v>247</v>
      </c>
      <c r="I198" s="220">
        <f>+V178</f>
        <v>5.6</v>
      </c>
      <c r="J198" s="76" t="s">
        <v>247</v>
      </c>
      <c r="K198" s="1699">
        <f>+F143</f>
        <v>26.476700000000001</v>
      </c>
      <c r="L198" s="1699"/>
      <c r="M198" s="1699"/>
      <c r="N198" s="76" t="s">
        <v>248</v>
      </c>
      <c r="O198" s="1707" t="str">
        <f>X170</f>
        <v>0.40</v>
      </c>
      <c r="P198" s="1707"/>
      <c r="Q198" s="76" t="s">
        <v>249</v>
      </c>
      <c r="R198" s="1700">
        <f>+P178</f>
        <v>6.69</v>
      </c>
      <c r="S198" s="1700"/>
      <c r="T198" s="76" t="s">
        <v>249</v>
      </c>
      <c r="U198" s="1698">
        <f>G5</f>
        <v>8.4</v>
      </c>
      <c r="V198" s="1698"/>
      <c r="W198" s="76" t="s">
        <v>249</v>
      </c>
      <c r="X198" s="1699">
        <f>L143</f>
        <v>13.459</v>
      </c>
      <c r="Y198" s="1699"/>
      <c r="Z198" s="1699"/>
      <c r="AB198" s="77"/>
      <c r="AC198" s="2"/>
    </row>
    <row r="199" spans="1:29" ht="17.25" customHeight="1">
      <c r="A199" s="6"/>
      <c r="B199" s="77"/>
      <c r="C199" s="76"/>
      <c r="D199" s="76"/>
      <c r="E199" s="76"/>
      <c r="F199" s="219"/>
      <c r="G199" s="219"/>
      <c r="H199" s="76"/>
      <c r="I199" s="222"/>
      <c r="J199" s="222"/>
      <c r="K199" s="222"/>
      <c r="L199" s="76"/>
      <c r="M199" s="76"/>
      <c r="N199" s="76"/>
      <c r="O199" s="76"/>
      <c r="P199" s="76"/>
      <c r="Q199" s="76"/>
      <c r="R199" s="76"/>
      <c r="S199" s="76"/>
      <c r="T199" s="221"/>
      <c r="U199" s="76"/>
      <c r="V199" s="76"/>
      <c r="W199" s="76"/>
      <c r="X199" s="76"/>
      <c r="Y199" s="76"/>
      <c r="Z199" s="77"/>
      <c r="AA199" s="77"/>
      <c r="AB199" s="77"/>
      <c r="AC199" s="2"/>
    </row>
    <row r="200" spans="1:29" ht="17.25" customHeight="1">
      <c r="A200" s="6"/>
      <c r="B200" s="74"/>
      <c r="C200" s="74"/>
      <c r="D200" s="74"/>
      <c r="E200" s="73" t="s">
        <v>248</v>
      </c>
      <c r="F200" s="1711">
        <f>+AK155</f>
        <v>16.510000000000002</v>
      </c>
      <c r="G200" s="1711"/>
      <c r="H200" s="1711"/>
      <c r="I200" s="76" t="s">
        <v>249</v>
      </c>
      <c r="J200" s="1068">
        <f>+J178</f>
        <v>7.4</v>
      </c>
      <c r="K200" s="1068"/>
      <c r="L200" s="76" t="s">
        <v>249</v>
      </c>
      <c r="M200" s="1699">
        <f>S143</f>
        <v>9.7690000000000001</v>
      </c>
      <c r="N200" s="1699"/>
      <c r="O200" s="1699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7"/>
      <c r="AA200" s="77"/>
      <c r="AB200" s="77"/>
      <c r="AC200" s="2"/>
    </row>
    <row r="201" spans="1:29" ht="17.25" customHeight="1">
      <c r="A201" s="6"/>
      <c r="B201" s="74"/>
      <c r="C201" s="74"/>
      <c r="D201" s="74"/>
      <c r="E201" s="73"/>
      <c r="F201" s="221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7"/>
      <c r="AA201" s="77"/>
      <c r="AB201" s="77"/>
      <c r="AC201" s="2"/>
    </row>
    <row r="202" spans="1:29" ht="17.25" customHeight="1">
      <c r="A202" s="6"/>
      <c r="B202" s="74"/>
      <c r="C202" s="74"/>
      <c r="D202" s="74"/>
      <c r="E202" s="73" t="s">
        <v>90</v>
      </c>
      <c r="F202" s="1701">
        <f>F198*I198*K198+O198*R198*U198*X198+F200*J200*M200</f>
        <v>1687.3222724000002</v>
      </c>
      <c r="G202" s="1701"/>
      <c r="H202" s="1701"/>
      <c r="I202" s="73" t="s">
        <v>250</v>
      </c>
      <c r="J202" s="73"/>
      <c r="K202" s="73"/>
      <c r="L202" s="73"/>
      <c r="M202" s="73"/>
      <c r="N202" s="73"/>
      <c r="O202" s="73"/>
      <c r="P202" s="73"/>
      <c r="Q202" s="73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9" ht="17.25" customHeight="1">
      <c r="A203" s="6"/>
      <c r="B203" s="74"/>
      <c r="C203" s="74"/>
      <c r="D203" s="74"/>
      <c r="E203" s="73"/>
      <c r="F203" s="223"/>
      <c r="G203" s="223"/>
      <c r="H203" s="223"/>
      <c r="I203" s="73"/>
      <c r="J203" s="73"/>
      <c r="K203" s="73"/>
      <c r="L203" s="73"/>
      <c r="M203" s="73"/>
      <c r="N203" s="73"/>
      <c r="O203" s="73"/>
      <c r="P203" s="73"/>
      <c r="Q203" s="73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9" ht="17.25" customHeight="1">
      <c r="A204" s="224"/>
      <c r="B204" s="94"/>
      <c r="C204" s="94" t="s">
        <v>251</v>
      </c>
      <c r="D204" s="94"/>
      <c r="E204" s="225"/>
      <c r="F204" s="226"/>
      <c r="G204" s="226" t="s">
        <v>90</v>
      </c>
      <c r="H204" s="1708">
        <f>F202</f>
        <v>1687.3222724000002</v>
      </c>
      <c r="I204" s="1708"/>
      <c r="J204" s="1708"/>
      <c r="K204" s="225" t="s">
        <v>250</v>
      </c>
      <c r="L204" s="225"/>
      <c r="M204" s="225"/>
      <c r="N204" s="225"/>
      <c r="O204" s="225"/>
      <c r="P204" s="225"/>
      <c r="Q204" s="22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9" ht="15" customHeight="1">
      <c r="A205" s="224"/>
      <c r="B205" s="94"/>
      <c r="C205" s="94"/>
      <c r="D205" s="94"/>
      <c r="E205" s="225"/>
      <c r="F205" s="226"/>
      <c r="G205" s="226"/>
      <c r="H205" s="227"/>
      <c r="I205" s="227"/>
      <c r="J205" s="227"/>
      <c r="K205" s="225"/>
      <c r="L205" s="225"/>
      <c r="M205" s="225"/>
      <c r="N205" s="225"/>
      <c r="O205" s="225"/>
      <c r="P205" s="225"/>
      <c r="Q205" s="22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9" ht="15" customHeight="1">
      <c r="A206" s="224"/>
      <c r="B206" s="94"/>
      <c r="C206" s="1696" t="s">
        <v>252</v>
      </c>
      <c r="D206" s="1696"/>
      <c r="E206" s="1696"/>
      <c r="F206" s="1696"/>
      <c r="G206" s="229" t="s">
        <v>90</v>
      </c>
      <c r="H206" s="1709">
        <f>H204</f>
        <v>1687.3222724000002</v>
      </c>
      <c r="I206" s="1709"/>
      <c r="J206" s="1709"/>
      <c r="K206" s="231" t="s">
        <v>181</v>
      </c>
      <c r="L206" s="891">
        <v>3</v>
      </c>
      <c r="M206" s="891"/>
      <c r="N206" s="228" t="s">
        <v>90</v>
      </c>
      <c r="O206" s="1710">
        <f>H206/L206</f>
        <v>562.4407574666667</v>
      </c>
      <c r="P206" s="1710"/>
      <c r="Q206" s="1710"/>
      <c r="R206" s="234" t="s">
        <v>253</v>
      </c>
      <c r="S206" s="234"/>
      <c r="T206" s="235"/>
      <c r="U206" s="235"/>
      <c r="V206" s="235"/>
      <c r="W206" s="85"/>
      <c r="X206" s="85"/>
      <c r="Y206" s="85"/>
      <c r="Z206" s="85"/>
      <c r="AA206" s="85"/>
      <c r="AB206" s="85"/>
    </row>
    <row r="207" spans="1:29" ht="15" customHeight="1">
      <c r="A207" s="224"/>
      <c r="B207" s="94"/>
      <c r="C207" s="228"/>
      <c r="D207" s="228"/>
      <c r="E207" s="228"/>
      <c r="F207" s="228"/>
      <c r="G207" s="229"/>
      <c r="H207" s="230"/>
      <c r="I207" s="230"/>
      <c r="J207" s="230"/>
      <c r="K207" s="231"/>
      <c r="L207" s="232"/>
      <c r="M207" s="232"/>
      <c r="N207" s="228"/>
      <c r="O207" s="233"/>
      <c r="P207" s="233"/>
      <c r="Q207" s="233"/>
      <c r="R207" s="234"/>
      <c r="S207" s="234"/>
      <c r="T207" s="235"/>
      <c r="U207" s="235"/>
      <c r="V207" s="235"/>
      <c r="W207" s="85"/>
      <c r="X207" s="85"/>
      <c r="Y207" s="85"/>
      <c r="Z207" s="85"/>
      <c r="AA207" s="85"/>
      <c r="AB207" s="85"/>
    </row>
    <row r="208" spans="1:29" ht="26.25" customHeight="1">
      <c r="A208" s="130"/>
      <c r="B208" s="1314" t="s">
        <v>254</v>
      </c>
      <c r="C208" s="1314"/>
      <c r="D208" s="1314"/>
      <c r="E208" s="1314"/>
      <c r="F208" s="1314"/>
      <c r="G208" s="1314"/>
      <c r="H208" s="1314"/>
      <c r="I208" s="1314"/>
      <c r="J208" s="1314"/>
      <c r="K208" s="1314"/>
      <c r="L208" s="1314"/>
      <c r="M208" s="1314"/>
      <c r="N208" s="1314"/>
      <c r="O208" s="1314"/>
      <c r="P208" s="1314"/>
      <c r="Q208" s="1314"/>
      <c r="R208" s="1314"/>
      <c r="S208" s="1695">
        <f>+O206</f>
        <v>562.4407574666667</v>
      </c>
      <c r="T208" s="1695"/>
      <c r="U208" s="1695"/>
      <c r="V208" s="1695"/>
      <c r="W208" s="1695"/>
      <c r="X208" s="1695"/>
      <c r="Y208" s="1695"/>
      <c r="Z208" s="1695"/>
      <c r="AA208" s="236"/>
      <c r="AB208" s="236"/>
    </row>
    <row r="209" spans="1:31" ht="26.25" customHeight="1">
      <c r="A209" s="130"/>
      <c r="B209" s="1316" t="s">
        <v>255</v>
      </c>
      <c r="C209" s="1316"/>
      <c r="D209" s="1316"/>
      <c r="E209" s="1316"/>
      <c r="F209" s="1316"/>
      <c r="G209" s="1316"/>
      <c r="H209" s="1316"/>
      <c r="I209" s="1316"/>
      <c r="J209" s="1316"/>
      <c r="K209" s="1316"/>
      <c r="L209" s="1316"/>
      <c r="M209" s="1316"/>
      <c r="N209" s="1316"/>
      <c r="O209" s="1316"/>
      <c r="P209" s="1316"/>
      <c r="Q209" s="1316"/>
      <c r="R209" s="1316"/>
      <c r="S209" s="1317">
        <f>+S5</f>
        <v>150</v>
      </c>
      <c r="T209" s="1317"/>
      <c r="U209" s="1317"/>
      <c r="V209" s="1317"/>
      <c r="W209" s="1317"/>
      <c r="X209" s="1317"/>
      <c r="Y209" s="1317"/>
      <c r="Z209" s="1317"/>
      <c r="AA209" s="237"/>
      <c r="AB209" s="237"/>
      <c r="AE209" s="145" t="s">
        <v>256</v>
      </c>
    </row>
    <row r="210" spans="1:31" ht="26.25" customHeight="1">
      <c r="A210" s="130"/>
      <c r="B210" s="1318" t="s">
        <v>257</v>
      </c>
      <c r="C210" s="1318"/>
      <c r="D210" s="1318"/>
      <c r="E210" s="1318"/>
      <c r="F210" s="1318"/>
      <c r="G210" s="1318"/>
      <c r="H210" s="1318"/>
      <c r="I210" s="1318"/>
      <c r="J210" s="1318"/>
      <c r="K210" s="1318"/>
      <c r="L210" s="1318"/>
      <c r="M210" s="1318"/>
      <c r="N210" s="1318"/>
      <c r="O210" s="1318"/>
      <c r="P210" s="1318"/>
      <c r="Q210" s="1318"/>
      <c r="R210" s="1318"/>
      <c r="S210" s="1318" t="str">
        <f>IF(S208 &gt;= S209, "O.K", "N.G")</f>
        <v>O.K</v>
      </c>
      <c r="T210" s="1318"/>
      <c r="U210" s="1318"/>
      <c r="V210" s="1318"/>
      <c r="W210" s="1318"/>
      <c r="X210" s="1318"/>
      <c r="Y210" s="1318"/>
      <c r="Z210" s="1318"/>
      <c r="AA210" s="238"/>
      <c r="AB210" s="238"/>
    </row>
    <row r="211" spans="1:31" ht="15" customHeight="1">
      <c r="A211" s="130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</row>
    <row r="212" spans="1:31" ht="15" customHeight="1">
      <c r="A212" s="130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</row>
    <row r="213" spans="1:31" ht="15" customHeight="1">
      <c r="A213" s="130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</row>
    <row r="214" spans="1:31" ht="15" customHeight="1">
      <c r="A214" s="130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</row>
    <row r="215" spans="1:31" ht="15" customHeight="1">
      <c r="A215" s="136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</row>
    <row r="216" spans="1:31" ht="15" customHeight="1">
      <c r="A216" s="136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</row>
    <row r="217" spans="1:31" ht="15" customHeight="1">
      <c r="A217" s="136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</row>
    <row r="218" spans="1:31" ht="15" customHeight="1">
      <c r="A218" s="136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</row>
    <row r="219" spans="1:31" ht="15" customHeight="1">
      <c r="A219" s="136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</row>
    <row r="220" spans="1:31" ht="15" customHeight="1">
      <c r="A220" s="130"/>
      <c r="B220" s="82" t="s">
        <v>258</v>
      </c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</row>
    <row r="221" spans="1:31" ht="15" customHeight="1">
      <c r="A221" s="130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</row>
    <row r="222" spans="1:31" ht="27" customHeight="1">
      <c r="A222" s="130"/>
      <c r="B222" s="1517" t="s">
        <v>157</v>
      </c>
      <c r="C222" s="1518"/>
      <c r="D222" s="1518"/>
      <c r="E222" s="1518"/>
      <c r="F222" s="1084" t="s">
        <v>158</v>
      </c>
      <c r="G222" s="1084"/>
      <c r="H222" s="1084"/>
      <c r="I222" s="1084"/>
      <c r="J222" s="1311" t="s">
        <v>232</v>
      </c>
      <c r="K222" s="1312"/>
      <c r="L222" s="1313"/>
      <c r="M222" s="1311" t="s">
        <v>233</v>
      </c>
      <c r="N222" s="1312"/>
      <c r="O222" s="1313"/>
      <c r="P222" s="1311" t="s">
        <v>234</v>
      </c>
      <c r="Q222" s="1312"/>
      <c r="R222" s="1313"/>
      <c r="S222" s="1311" t="s">
        <v>235</v>
      </c>
      <c r="T222" s="1312"/>
      <c r="U222" s="1313"/>
      <c r="V222" s="1311" t="s">
        <v>236</v>
      </c>
      <c r="W222" s="1312"/>
      <c r="X222" s="1312"/>
      <c r="Y222" s="1312"/>
      <c r="Z222" s="1312"/>
      <c r="AA222" s="239"/>
      <c r="AB222" s="239"/>
    </row>
    <row r="223" spans="1:31" ht="27" customHeight="1">
      <c r="A223" s="130"/>
      <c r="B223" s="1238">
        <f>$G$5</f>
        <v>8.4</v>
      </c>
      <c r="C223" s="1525"/>
      <c r="D223" s="1525"/>
      <c r="E223" s="1525"/>
      <c r="F223" s="1332">
        <f>$K$5</f>
        <v>8.8000000000000007</v>
      </c>
      <c r="G223" s="1332"/>
      <c r="H223" s="1332"/>
      <c r="I223" s="1332"/>
      <c r="J223" s="1251">
        <f>+$O$5+Q96/1000</f>
        <v>7.9</v>
      </c>
      <c r="K223" s="1252"/>
      <c r="L223" s="1253"/>
      <c r="M223" s="1251">
        <f>+$S$5</f>
        <v>150</v>
      </c>
      <c r="N223" s="1252"/>
      <c r="O223" s="1253"/>
      <c r="P223" s="1251">
        <f>+$AK$154</f>
        <v>6.69</v>
      </c>
      <c r="Q223" s="1252"/>
      <c r="R223" s="1253"/>
      <c r="S223" s="1308">
        <f>+$AK$155</f>
        <v>16.510000000000002</v>
      </c>
      <c r="T223" s="1309"/>
      <c r="U223" s="1310"/>
      <c r="V223" s="1308">
        <f>+U116</f>
        <v>5.54</v>
      </c>
      <c r="W223" s="1309"/>
      <c r="X223" s="1309"/>
      <c r="Y223" s="1309"/>
      <c r="Z223" s="1309"/>
      <c r="AA223" s="239"/>
      <c r="AB223" s="239"/>
    </row>
    <row r="224" spans="1:31" ht="15" customHeight="1">
      <c r="A224" s="212"/>
      <c r="C224" s="6"/>
      <c r="D224" s="6"/>
      <c r="E224" s="82"/>
      <c r="F224" s="21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spans="1:64" ht="15" customHeight="1">
      <c r="A225" s="6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64" ht="15" customHeight="1">
      <c r="A226" s="77"/>
      <c r="B226" s="77" t="s">
        <v>237</v>
      </c>
      <c r="C226" s="213"/>
      <c r="D226" s="77" t="s">
        <v>238</v>
      </c>
      <c r="E226" s="77" t="s">
        <v>239</v>
      </c>
      <c r="F226" s="77"/>
      <c r="G226" s="77"/>
      <c r="H226" s="77"/>
      <c r="I226" s="77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</row>
    <row r="227" spans="1:64" ht="21" customHeight="1">
      <c r="A227" s="77"/>
      <c r="B227" s="77"/>
      <c r="C227" s="213"/>
      <c r="D227" s="77"/>
      <c r="E227" s="77"/>
      <c r="F227" s="77"/>
      <c r="G227" s="77"/>
      <c r="H227" s="77"/>
      <c r="I227" s="77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</row>
    <row r="228" spans="1:64" ht="21" customHeight="1">
      <c r="A228" s="77"/>
      <c r="B228" s="77"/>
      <c r="C228" s="213"/>
      <c r="D228" s="213"/>
      <c r="E228" s="213" t="s">
        <v>240</v>
      </c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215"/>
    </row>
    <row r="229" spans="1:64" ht="21" customHeight="1">
      <c r="A229" s="77"/>
      <c r="B229" s="77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215"/>
    </row>
    <row r="230" spans="1:64" ht="21" customHeight="1">
      <c r="A230" s="77"/>
      <c r="B230" s="77"/>
      <c r="C230" s="213"/>
      <c r="D230" s="213"/>
      <c r="E230" s="213" t="s">
        <v>241</v>
      </c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215"/>
    </row>
    <row r="231" spans="1:64" ht="24.75" customHeight="1">
      <c r="A231" s="77"/>
      <c r="B231" s="77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215"/>
    </row>
    <row r="232" spans="1:64" ht="12.75" customHeight="1">
      <c r="A232" s="77"/>
      <c r="B232" s="77"/>
      <c r="C232" s="213"/>
      <c r="D232" s="213"/>
      <c r="E232" s="213" t="s">
        <v>242</v>
      </c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64" ht="12.75" customHeight="1">
      <c r="A233" s="77"/>
      <c r="B233" s="77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64" ht="16.5" customHeight="1">
      <c r="A234" s="77"/>
      <c r="B234" s="77"/>
      <c r="C234" s="213"/>
      <c r="D234" s="77"/>
      <c r="E234" s="77" t="s">
        <v>243</v>
      </c>
      <c r="F234" s="77"/>
      <c r="G234" s="77"/>
      <c r="H234" s="77"/>
      <c r="I234" s="77"/>
      <c r="J234" s="218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64" ht="16.5" customHeight="1">
      <c r="A235" s="77"/>
      <c r="B235" s="77"/>
      <c r="C235" s="213"/>
      <c r="D235" s="77"/>
      <c r="E235" s="77"/>
      <c r="F235" s="77"/>
      <c r="G235" s="77"/>
      <c r="H235" s="77"/>
      <c r="I235" s="77"/>
      <c r="J235" s="218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X235" s="3"/>
      <c r="AY235" s="3"/>
      <c r="AZ235" s="5"/>
      <c r="BA235" s="5"/>
    </row>
    <row r="236" spans="1:64" ht="16.5" customHeight="1">
      <c r="A236" s="77"/>
      <c r="B236" s="77"/>
      <c r="C236" s="77"/>
      <c r="D236" s="77"/>
      <c r="E236" s="77" t="s">
        <v>244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D236" s="11"/>
      <c r="AE236" s="12"/>
      <c r="AF236" s="13"/>
      <c r="AG236" s="13"/>
      <c r="AT236" s="13"/>
      <c r="AU236" s="13"/>
      <c r="AV236" s="13"/>
      <c r="AW236" s="13"/>
      <c r="AX236" s="15"/>
      <c r="AY236" s="16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</row>
    <row r="237" spans="1:64" ht="16.5" customHeight="1">
      <c r="A237" s="6"/>
      <c r="B237" s="13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D237" s="11"/>
      <c r="AE237" s="12"/>
      <c r="AF237" s="13"/>
      <c r="AG237" s="13"/>
      <c r="AS237" s="14"/>
      <c r="AT237" s="13"/>
      <c r="AU237" s="13"/>
      <c r="AV237" s="13"/>
      <c r="AW237" s="13"/>
      <c r="AX237" s="15"/>
      <c r="AY237" s="16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</row>
    <row r="238" spans="1:64" ht="16.5" customHeight="1">
      <c r="A238" s="6"/>
      <c r="B238" s="131"/>
      <c r="C238" s="74"/>
      <c r="D238" s="74"/>
      <c r="E238" s="73" t="s">
        <v>259</v>
      </c>
      <c r="F238" s="157"/>
      <c r="G238" s="158"/>
      <c r="H238" s="158"/>
      <c r="I238" s="74"/>
      <c r="J238" s="76"/>
      <c r="K238" s="73"/>
      <c r="L238" s="76"/>
      <c r="M238" s="119" t="s">
        <v>90</v>
      </c>
      <c r="N238" s="1702">
        <f>+U116</f>
        <v>5.54</v>
      </c>
      <c r="O238" s="1702"/>
      <c r="P238" s="1702"/>
      <c r="Q238" s="1703" t="s">
        <v>15</v>
      </c>
      <c r="R238" s="1703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D238" s="11"/>
      <c r="AE238" s="12"/>
      <c r="AF238" s="13"/>
      <c r="AG238" s="13"/>
      <c r="AS238" s="14"/>
      <c r="AT238" s="13"/>
      <c r="AU238" s="13"/>
      <c r="AV238" s="13"/>
      <c r="AW238" s="13"/>
      <c r="AX238" s="15"/>
      <c r="AY238" s="16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</row>
    <row r="239" spans="1:64" ht="16.5" customHeight="1">
      <c r="A239" s="6"/>
      <c r="B239" s="131"/>
      <c r="C239" s="74"/>
      <c r="D239" s="74"/>
      <c r="E239" s="158"/>
      <c r="F239" s="157"/>
      <c r="G239" s="158"/>
      <c r="H239" s="158"/>
      <c r="I239" s="74"/>
      <c r="J239" s="76"/>
      <c r="K239" s="73"/>
      <c r="L239" s="76"/>
      <c r="M239" s="76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D239" s="11"/>
      <c r="AE239" s="12"/>
      <c r="AF239" s="13"/>
      <c r="AG239" s="13"/>
      <c r="AS239" s="14"/>
      <c r="AT239" s="13"/>
      <c r="AU239" s="13"/>
      <c r="AV239" s="13"/>
      <c r="AW239" s="13"/>
      <c r="AX239" s="15"/>
      <c r="AY239" s="16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</row>
    <row r="240" spans="1:64" ht="16.5" customHeight="1">
      <c r="A240" s="6"/>
      <c r="B240" s="131"/>
      <c r="C240" s="74"/>
      <c r="D240" s="74"/>
      <c r="E240" s="73" t="s">
        <v>260</v>
      </c>
      <c r="F240" s="157"/>
      <c r="G240" s="158"/>
      <c r="H240" s="158"/>
      <c r="I240" s="74"/>
      <c r="J240" s="76"/>
      <c r="K240" s="73"/>
      <c r="L240" s="76"/>
      <c r="M240" s="119" t="s">
        <v>90</v>
      </c>
      <c r="N240" s="1704">
        <f>+U119</f>
        <v>25.65</v>
      </c>
      <c r="O240" s="1704"/>
      <c r="P240" s="1704"/>
      <c r="Q240" s="1705" t="s">
        <v>131</v>
      </c>
      <c r="R240" s="1068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D240" s="11"/>
      <c r="AE240" s="12"/>
      <c r="AF240" s="13"/>
      <c r="AG240" s="13"/>
      <c r="AS240" s="14"/>
      <c r="AT240" s="13"/>
      <c r="AU240" s="13"/>
      <c r="AV240" s="13"/>
      <c r="AW240" s="13"/>
      <c r="AX240" s="15"/>
      <c r="AY240" s="16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</row>
    <row r="241" spans="1:64" ht="16.5" customHeight="1">
      <c r="A241" s="6"/>
      <c r="B241" s="13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D241" s="11"/>
      <c r="AE241" s="12"/>
      <c r="AF241" s="13"/>
      <c r="AG241" s="13"/>
      <c r="AS241" s="14"/>
      <c r="AT241" s="13"/>
      <c r="AU241" s="13"/>
      <c r="AV241" s="13"/>
      <c r="AW241" s="13"/>
      <c r="AX241" s="15"/>
      <c r="AY241" s="16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</row>
    <row r="242" spans="1:64" ht="16.5" customHeight="1">
      <c r="A242" s="6"/>
      <c r="B242" s="77"/>
      <c r="C242" s="1068" t="s">
        <v>237</v>
      </c>
      <c r="D242" s="1068"/>
      <c r="E242" s="76" t="s">
        <v>90</v>
      </c>
      <c r="F242" s="1706" t="str">
        <f>+X169</f>
        <v>1.29</v>
      </c>
      <c r="G242" s="1706"/>
      <c r="H242" s="76" t="s">
        <v>247</v>
      </c>
      <c r="I242" s="220">
        <f>+V223</f>
        <v>5.54</v>
      </c>
      <c r="J242" s="76" t="s">
        <v>247</v>
      </c>
      <c r="K242" s="1699">
        <f>+F146</f>
        <v>27.3765</v>
      </c>
      <c r="L242" s="1699"/>
      <c r="M242" s="1699"/>
      <c r="N242" s="76" t="s">
        <v>248</v>
      </c>
      <c r="O242" s="1707" t="str">
        <f>+X170</f>
        <v>0.40</v>
      </c>
      <c r="P242" s="1707"/>
      <c r="Q242" s="76" t="s">
        <v>249</v>
      </c>
      <c r="R242" s="1700">
        <f>+P223</f>
        <v>6.69</v>
      </c>
      <c r="S242" s="1700"/>
      <c r="T242" s="76" t="s">
        <v>249</v>
      </c>
      <c r="U242" s="1698">
        <f>+B223</f>
        <v>8.4</v>
      </c>
      <c r="V242" s="1698"/>
      <c r="W242" s="76" t="s">
        <v>249</v>
      </c>
      <c r="X242" s="1699">
        <f>+L146</f>
        <v>14.146000000000001</v>
      </c>
      <c r="Y242" s="1699"/>
      <c r="Z242" s="1699"/>
      <c r="AA242" s="242"/>
      <c r="AB242" s="77"/>
      <c r="AD242" s="11"/>
      <c r="AE242" s="12"/>
      <c r="AF242" s="13"/>
      <c r="AG242" s="13"/>
      <c r="AS242" s="14"/>
      <c r="AT242" s="13"/>
      <c r="AU242" s="13"/>
      <c r="AV242" s="13"/>
      <c r="AW242" s="13"/>
      <c r="AX242" s="15"/>
      <c r="AY242" s="16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</row>
    <row r="243" spans="1:64" ht="16.5" customHeight="1">
      <c r="A243" s="6"/>
      <c r="B243" s="77"/>
      <c r="C243" s="76"/>
      <c r="D243" s="76"/>
      <c r="E243" s="76"/>
      <c r="F243" s="219"/>
      <c r="G243" s="219"/>
      <c r="H243" s="76"/>
      <c r="I243" s="222"/>
      <c r="J243" s="222"/>
      <c r="K243" s="222"/>
      <c r="L243" s="76"/>
      <c r="M243" s="76"/>
      <c r="N243" s="76"/>
      <c r="O243" s="76"/>
      <c r="P243" s="76"/>
      <c r="Q243" s="76"/>
      <c r="R243" s="76"/>
      <c r="S243" s="76"/>
      <c r="T243" s="221"/>
      <c r="U243" s="76"/>
      <c r="V243" s="76"/>
      <c r="W243" s="76"/>
      <c r="X243" s="76"/>
      <c r="Y243" s="76"/>
      <c r="Z243" s="77"/>
      <c r="AA243" s="77"/>
      <c r="AB243" s="77"/>
      <c r="AD243" s="11"/>
      <c r="AE243" s="12"/>
      <c r="AF243" s="13"/>
      <c r="AG243" s="13"/>
      <c r="AS243" s="14"/>
      <c r="AT243" s="13"/>
      <c r="AU243" s="13"/>
      <c r="AV243" s="13"/>
      <c r="AW243" s="13"/>
      <c r="AX243" s="15"/>
      <c r="AY243" s="16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</row>
    <row r="244" spans="1:64" ht="16.5" customHeight="1">
      <c r="A244" s="6"/>
      <c r="B244" s="74"/>
      <c r="C244" s="74"/>
      <c r="D244" s="74"/>
      <c r="E244" s="73" t="s">
        <v>248</v>
      </c>
      <c r="F244" s="1700">
        <f>+AK155</f>
        <v>16.510000000000002</v>
      </c>
      <c r="G244" s="1700"/>
      <c r="H244" s="1700"/>
      <c r="I244" s="76" t="s">
        <v>249</v>
      </c>
      <c r="J244" s="1068">
        <f>+J223</f>
        <v>7.9</v>
      </c>
      <c r="K244" s="1068"/>
      <c r="L244" s="76" t="s">
        <v>249</v>
      </c>
      <c r="M244" s="1698">
        <f>S146</f>
        <v>10.462</v>
      </c>
      <c r="N244" s="1698"/>
      <c r="O244" s="1698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7"/>
      <c r="AA244" s="77"/>
      <c r="AB244" s="77"/>
      <c r="AD244" s="11"/>
      <c r="AE244" s="12"/>
      <c r="AF244" s="13"/>
      <c r="AG244" s="13"/>
      <c r="AS244" s="14"/>
      <c r="AT244" s="13"/>
      <c r="AU244" s="13"/>
      <c r="AV244" s="13"/>
      <c r="AW244" s="13"/>
      <c r="AX244" s="15"/>
      <c r="AY244" s="16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</row>
    <row r="245" spans="1:64" ht="16.5" customHeight="1">
      <c r="A245" s="6"/>
      <c r="B245" s="74"/>
      <c r="C245" s="74"/>
      <c r="D245" s="74"/>
      <c r="E245" s="73"/>
      <c r="F245" s="221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7"/>
      <c r="AA245" s="77"/>
      <c r="AB245" s="77"/>
      <c r="AD245" s="11"/>
      <c r="AE245" s="12"/>
      <c r="AF245" s="13"/>
      <c r="AG245" s="13"/>
      <c r="AS245" s="14"/>
      <c r="AT245" s="13"/>
      <c r="AU245" s="13"/>
      <c r="AV245" s="13"/>
      <c r="AW245" s="13"/>
      <c r="AX245" s="15"/>
      <c r="AY245" s="16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</row>
    <row r="246" spans="1:64" ht="16.5" customHeight="1">
      <c r="A246" s="6"/>
      <c r="B246" s="74"/>
      <c r="C246" s="74"/>
      <c r="D246" s="74"/>
      <c r="E246" s="73" t="s">
        <v>90</v>
      </c>
      <c r="F246" s="1701">
        <f>+F242*I242*K242+O242*R242*U242*X242+F244*J244*M244</f>
        <v>1878.1765393000003</v>
      </c>
      <c r="G246" s="1701"/>
      <c r="H246" s="1701"/>
      <c r="I246" s="73" t="s">
        <v>250</v>
      </c>
      <c r="J246" s="73"/>
      <c r="K246" s="73"/>
      <c r="L246" s="73"/>
      <c r="M246" s="73"/>
      <c r="N246" s="73"/>
      <c r="O246" s="73"/>
      <c r="P246" s="73"/>
      <c r="Q246" s="73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D246" s="11"/>
      <c r="AE246" s="12"/>
      <c r="AF246" s="13"/>
      <c r="AG246" s="13"/>
      <c r="AS246" s="14"/>
      <c r="AT246" s="13"/>
      <c r="AU246" s="13"/>
      <c r="AV246" s="13"/>
      <c r="AW246" s="13"/>
      <c r="AX246" s="15"/>
      <c r="AY246" s="16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</row>
    <row r="247" spans="1:64" ht="16.5" customHeight="1">
      <c r="A247" s="6"/>
      <c r="B247" s="74"/>
      <c r="C247" s="74"/>
      <c r="D247" s="74"/>
      <c r="E247" s="73"/>
      <c r="F247" s="223"/>
      <c r="G247" s="223"/>
      <c r="H247" s="223"/>
      <c r="I247" s="73"/>
      <c r="J247" s="73"/>
      <c r="K247" s="73"/>
      <c r="L247" s="73"/>
      <c r="M247" s="73"/>
      <c r="N247" s="73"/>
      <c r="O247" s="73"/>
      <c r="P247" s="73"/>
      <c r="Q247" s="73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D247" s="11"/>
      <c r="AE247" s="12"/>
      <c r="AF247" s="13"/>
      <c r="AG247" s="13"/>
      <c r="AS247" s="14"/>
      <c r="AT247" s="13"/>
      <c r="AU247" s="13"/>
      <c r="AV247" s="13"/>
      <c r="AW247" s="13"/>
      <c r="AX247" s="15"/>
      <c r="AY247" s="16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</row>
    <row r="248" spans="1:64" ht="16.5" customHeight="1">
      <c r="A248" s="224"/>
      <c r="B248" s="94"/>
      <c r="C248" s="94" t="s">
        <v>251</v>
      </c>
      <c r="D248" s="94"/>
      <c r="E248" s="225"/>
      <c r="F248" s="226"/>
      <c r="G248" s="226" t="s">
        <v>90</v>
      </c>
      <c r="H248" s="1262">
        <f>ROUND(F246,2)</f>
        <v>1878.18</v>
      </c>
      <c r="I248" s="1262"/>
      <c r="J248" s="1262"/>
      <c r="K248" s="225" t="s">
        <v>250</v>
      </c>
      <c r="L248" s="225"/>
      <c r="M248" s="225"/>
      <c r="N248" s="225"/>
      <c r="O248" s="225"/>
      <c r="P248" s="225"/>
      <c r="Q248" s="22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D248" s="11"/>
      <c r="AE248" s="12"/>
      <c r="AF248" s="13"/>
      <c r="AG248" s="13"/>
      <c r="AS248" s="14"/>
      <c r="AT248" s="13"/>
      <c r="AU248" s="13"/>
      <c r="AV248" s="13"/>
      <c r="AW248" s="13"/>
      <c r="AX248" s="15"/>
      <c r="AY248" s="16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</row>
    <row r="249" spans="1:64" ht="16.5" customHeight="1">
      <c r="A249" s="224"/>
      <c r="B249" s="94"/>
      <c r="C249" s="94"/>
      <c r="D249" s="94"/>
      <c r="E249" s="225"/>
      <c r="F249" s="226"/>
      <c r="G249" s="226"/>
      <c r="H249" s="227"/>
      <c r="I249" s="227"/>
      <c r="J249" s="227"/>
      <c r="K249" s="225"/>
      <c r="L249" s="225"/>
      <c r="M249" s="225"/>
      <c r="N249" s="225"/>
      <c r="O249" s="225"/>
      <c r="P249" s="225"/>
      <c r="Q249" s="22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D249" s="11"/>
      <c r="AE249" s="12"/>
      <c r="AF249" s="13"/>
      <c r="AG249" s="13"/>
      <c r="AS249" s="14"/>
      <c r="AT249" s="13"/>
      <c r="AU249" s="13"/>
      <c r="AV249" s="13"/>
      <c r="AW249" s="13"/>
      <c r="AX249" s="15"/>
      <c r="AY249" s="16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</row>
    <row r="250" spans="1:64" ht="16.5" customHeight="1">
      <c r="A250" s="224"/>
      <c r="B250" s="94"/>
      <c r="C250" s="1696" t="s">
        <v>252</v>
      </c>
      <c r="D250" s="1696"/>
      <c r="E250" s="1696"/>
      <c r="F250" s="1696"/>
      <c r="G250" s="229" t="s">
        <v>90</v>
      </c>
      <c r="H250" s="1697">
        <f>H248</f>
        <v>1878.18</v>
      </c>
      <c r="I250" s="1697"/>
      <c r="J250" s="1697"/>
      <c r="K250" s="231" t="s">
        <v>181</v>
      </c>
      <c r="L250" s="891">
        <v>3</v>
      </c>
      <c r="M250" s="891"/>
      <c r="N250" s="228" t="s">
        <v>90</v>
      </c>
      <c r="O250" s="1697">
        <f>H250/L250</f>
        <v>626.06000000000006</v>
      </c>
      <c r="P250" s="1697"/>
      <c r="Q250" s="1697"/>
      <c r="R250" s="234" t="s">
        <v>253</v>
      </c>
      <c r="S250" s="234"/>
      <c r="T250" s="235"/>
      <c r="U250" s="235"/>
      <c r="V250" s="235"/>
      <c r="W250" s="85"/>
      <c r="X250" s="85"/>
      <c r="Y250" s="85"/>
      <c r="Z250" s="85"/>
      <c r="AA250" s="85"/>
      <c r="AB250" s="85"/>
      <c r="AD250" s="11"/>
      <c r="AE250" s="12"/>
      <c r="AF250" s="13"/>
      <c r="AG250" s="13"/>
      <c r="AS250" s="14"/>
      <c r="AT250" s="13"/>
      <c r="AU250" s="13"/>
      <c r="AV250" s="13"/>
      <c r="AW250" s="13"/>
      <c r="AX250" s="15"/>
      <c r="AY250" s="16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</row>
    <row r="251" spans="1:64" ht="16.5" customHeight="1">
      <c r="A251" s="224"/>
      <c r="B251" s="94"/>
      <c r="C251" s="228"/>
      <c r="D251" s="228"/>
      <c r="E251" s="228"/>
      <c r="F251" s="228"/>
      <c r="G251" s="229"/>
      <c r="H251" s="230"/>
      <c r="I251" s="230"/>
      <c r="J251" s="230"/>
      <c r="K251" s="231"/>
      <c r="L251" s="232"/>
      <c r="M251" s="232"/>
      <c r="N251" s="228"/>
      <c r="O251" s="233"/>
      <c r="P251" s="233"/>
      <c r="Q251" s="233"/>
      <c r="R251" s="234"/>
      <c r="S251" s="234"/>
      <c r="T251" s="235"/>
      <c r="U251" s="235"/>
      <c r="V251" s="235"/>
      <c r="W251" s="85"/>
      <c r="X251" s="85"/>
      <c r="Y251" s="85"/>
      <c r="Z251" s="85"/>
      <c r="AA251" s="85"/>
      <c r="AB251" s="85"/>
      <c r="AD251" s="11"/>
      <c r="AE251" s="12"/>
      <c r="AF251" s="13"/>
      <c r="AG251" s="13"/>
      <c r="AS251" s="14"/>
      <c r="AT251" s="13"/>
      <c r="AU251" s="13"/>
      <c r="AV251" s="13"/>
      <c r="AW251" s="13"/>
      <c r="AX251" s="15"/>
      <c r="AY251" s="16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</row>
    <row r="252" spans="1:64" ht="35.25" customHeight="1">
      <c r="A252" s="130"/>
      <c r="B252" s="1314" t="s">
        <v>254</v>
      </c>
      <c r="C252" s="1314"/>
      <c r="D252" s="1314"/>
      <c r="E252" s="1314"/>
      <c r="F252" s="1314"/>
      <c r="G252" s="1314"/>
      <c r="H252" s="1314"/>
      <c r="I252" s="1314"/>
      <c r="J252" s="1314"/>
      <c r="K252" s="1314"/>
      <c r="L252" s="1314"/>
      <c r="M252" s="1314"/>
      <c r="N252" s="1314"/>
      <c r="O252" s="1314"/>
      <c r="P252" s="1314"/>
      <c r="Q252" s="1314"/>
      <c r="R252" s="1314"/>
      <c r="S252" s="1695">
        <f>+O250</f>
        <v>626.06000000000006</v>
      </c>
      <c r="T252" s="1695"/>
      <c r="U252" s="1695"/>
      <c r="V252" s="1695"/>
      <c r="W252" s="1695"/>
      <c r="X252" s="1695"/>
      <c r="Y252" s="1695"/>
      <c r="Z252" s="1695"/>
      <c r="AA252" s="236"/>
      <c r="AB252" s="236"/>
      <c r="AE252" s="243" t="s">
        <v>256</v>
      </c>
      <c r="AF252" s="13"/>
      <c r="AG252" s="13"/>
      <c r="AS252" s="14"/>
      <c r="AT252" s="13"/>
      <c r="AU252" s="13"/>
      <c r="AV252" s="13"/>
      <c r="AW252" s="13"/>
      <c r="AX252" s="15"/>
      <c r="AY252" s="16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</row>
    <row r="253" spans="1:64" ht="35.25" customHeight="1">
      <c r="A253" s="130"/>
      <c r="B253" s="1316" t="s">
        <v>255</v>
      </c>
      <c r="C253" s="1316"/>
      <c r="D253" s="1316"/>
      <c r="E253" s="1316"/>
      <c r="F253" s="1316"/>
      <c r="G253" s="1316"/>
      <c r="H253" s="1316"/>
      <c r="I253" s="1316"/>
      <c r="J253" s="1316"/>
      <c r="K253" s="1316"/>
      <c r="L253" s="1316"/>
      <c r="M253" s="1316"/>
      <c r="N253" s="1316"/>
      <c r="O253" s="1316"/>
      <c r="P253" s="1316"/>
      <c r="Q253" s="1316"/>
      <c r="R253" s="1316"/>
      <c r="S253" s="1317">
        <f>+S5</f>
        <v>150</v>
      </c>
      <c r="T253" s="1317"/>
      <c r="U253" s="1317"/>
      <c r="V253" s="1317"/>
      <c r="W253" s="1317"/>
      <c r="X253" s="1317"/>
      <c r="Y253" s="1317"/>
      <c r="Z253" s="1317"/>
      <c r="AA253" s="237"/>
      <c r="AB253" s="237"/>
      <c r="AD253" s="11"/>
      <c r="AE253" s="12"/>
      <c r="AF253" s="13"/>
      <c r="AG253" s="13"/>
      <c r="AS253" s="14"/>
      <c r="AT253" s="13"/>
      <c r="AU253" s="13"/>
      <c r="AV253" s="13"/>
      <c r="AW253" s="13"/>
      <c r="AX253" s="15"/>
      <c r="AY253" s="16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</row>
    <row r="254" spans="1:64" ht="35.25" customHeight="1">
      <c r="A254" s="130"/>
      <c r="B254" s="1318" t="s">
        <v>257</v>
      </c>
      <c r="C254" s="1318"/>
      <c r="D254" s="1318"/>
      <c r="E254" s="1318"/>
      <c r="F254" s="1318"/>
      <c r="G254" s="1318"/>
      <c r="H254" s="1318"/>
      <c r="I254" s="1318"/>
      <c r="J254" s="1318"/>
      <c r="K254" s="1318"/>
      <c r="L254" s="1318"/>
      <c r="M254" s="1318"/>
      <c r="N254" s="1318"/>
      <c r="O254" s="1318"/>
      <c r="P254" s="1318"/>
      <c r="Q254" s="1318"/>
      <c r="R254" s="1318"/>
      <c r="S254" s="244" t="str">
        <f>IF(S252 &gt;= S253, "O.K", "N.G")</f>
        <v>O.K</v>
      </c>
      <c r="T254" s="1318"/>
      <c r="U254" s="1318"/>
      <c r="V254" s="1318"/>
      <c r="W254" s="1318"/>
      <c r="X254" s="1318"/>
      <c r="Y254" s="1318"/>
      <c r="Z254" s="1318"/>
      <c r="AA254" s="238"/>
      <c r="AB254" s="238"/>
      <c r="AD254" s="11"/>
      <c r="AE254" s="12"/>
      <c r="AF254" s="13"/>
      <c r="AG254" s="13"/>
      <c r="AS254" s="14"/>
      <c r="AT254" s="13"/>
      <c r="AU254" s="13"/>
      <c r="AV254" s="13"/>
      <c r="AW254" s="13"/>
      <c r="AX254" s="15"/>
      <c r="AY254" s="16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</row>
    <row r="255" spans="1:64" ht="15" customHeight="1">
      <c r="A255" s="130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D255" s="11"/>
      <c r="AE255" s="12"/>
      <c r="AF255" s="13"/>
      <c r="AG255" s="13"/>
      <c r="AS255" s="14"/>
      <c r="AT255" s="13"/>
      <c r="AU255" s="13"/>
      <c r="AV255" s="13"/>
      <c r="AW255" s="13"/>
      <c r="AX255" s="15"/>
      <c r="AY255" s="16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</row>
    <row r="256" spans="1:64" ht="15" customHeight="1">
      <c r="A256" s="224"/>
      <c r="B256" s="94"/>
      <c r="C256" s="228"/>
      <c r="D256" s="228"/>
      <c r="E256" s="228"/>
      <c r="F256" s="228"/>
      <c r="G256" s="229"/>
      <c r="H256" s="230"/>
      <c r="I256" s="230"/>
      <c r="J256" s="230"/>
      <c r="K256" s="231"/>
      <c r="L256" s="232"/>
      <c r="M256" s="232"/>
      <c r="N256" s="228"/>
      <c r="O256" s="233"/>
      <c r="P256" s="233"/>
      <c r="Q256" s="233"/>
      <c r="R256" s="234"/>
      <c r="S256" s="234"/>
      <c r="T256" s="235"/>
      <c r="U256" s="235"/>
      <c r="V256" s="235"/>
      <c r="W256" s="85"/>
      <c r="X256" s="85"/>
      <c r="Y256" s="85"/>
      <c r="Z256" s="85"/>
      <c r="AA256" s="85"/>
      <c r="AB256" s="85"/>
      <c r="AD256" s="11"/>
      <c r="AE256" s="12"/>
      <c r="AF256" s="13"/>
      <c r="AG256" s="13"/>
      <c r="AS256" s="14"/>
      <c r="AT256" s="13"/>
      <c r="AU256" s="13"/>
      <c r="AV256" s="13"/>
      <c r="AW256" s="13"/>
      <c r="AX256" s="15"/>
      <c r="AY256" s="16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</row>
    <row r="257" spans="1:64" ht="15" customHeight="1">
      <c r="A257" s="224"/>
      <c r="B257" s="94"/>
      <c r="C257" s="228"/>
      <c r="D257" s="228"/>
      <c r="E257" s="228"/>
      <c r="F257" s="228"/>
      <c r="G257" s="229"/>
      <c r="H257" s="230"/>
      <c r="I257" s="230"/>
      <c r="J257" s="230"/>
      <c r="K257" s="231"/>
      <c r="L257" s="232"/>
      <c r="M257" s="232"/>
      <c r="N257" s="228"/>
      <c r="O257" s="233"/>
      <c r="P257" s="233"/>
      <c r="Q257" s="233"/>
      <c r="R257" s="234"/>
      <c r="S257" s="234"/>
      <c r="T257" s="235"/>
      <c r="U257" s="235"/>
      <c r="V257" s="235"/>
      <c r="W257" s="85"/>
      <c r="X257" s="85"/>
      <c r="Y257" s="85"/>
      <c r="Z257" s="85"/>
      <c r="AA257" s="85"/>
      <c r="AB257" s="85"/>
      <c r="AD257" s="11"/>
      <c r="AE257" s="12"/>
      <c r="AF257" s="13"/>
      <c r="AG257" s="13"/>
      <c r="AS257" s="14"/>
      <c r="AT257" s="13"/>
      <c r="AU257" s="13"/>
      <c r="AV257" s="13"/>
      <c r="AW257" s="13"/>
      <c r="AX257" s="15"/>
      <c r="AY257" s="16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</row>
    <row r="258" spans="1:64" ht="15" customHeight="1">
      <c r="A258" s="224"/>
      <c r="B258" s="94"/>
      <c r="C258" s="228"/>
      <c r="D258" s="228"/>
      <c r="E258" s="228"/>
      <c r="F258" s="228"/>
      <c r="G258" s="229"/>
      <c r="H258" s="230"/>
      <c r="I258" s="230"/>
      <c r="J258" s="230"/>
      <c r="K258" s="231"/>
      <c r="L258" s="232"/>
      <c r="M258" s="232"/>
      <c r="N258" s="228"/>
      <c r="O258" s="233"/>
      <c r="P258" s="233"/>
      <c r="Q258" s="233"/>
      <c r="R258" s="234"/>
      <c r="S258" s="234"/>
      <c r="T258" s="235"/>
      <c r="U258" s="235"/>
      <c r="V258" s="235"/>
      <c r="W258" s="85"/>
      <c r="X258" s="85"/>
      <c r="Y258" s="85"/>
      <c r="Z258" s="85"/>
      <c r="AA258" s="85"/>
      <c r="AB258" s="85"/>
      <c r="AD258" s="11"/>
      <c r="AE258" s="12"/>
      <c r="AF258" s="13"/>
      <c r="AG258" s="13"/>
      <c r="AS258" s="14"/>
      <c r="AT258" s="13"/>
      <c r="AU258" s="13"/>
      <c r="AV258" s="13"/>
      <c r="AW258" s="13"/>
      <c r="AX258" s="15"/>
      <c r="AY258" s="16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</row>
    <row r="259" spans="1:64" ht="15" customHeight="1">
      <c r="A259" s="224"/>
      <c r="B259" s="94"/>
      <c r="C259" s="228"/>
      <c r="D259" s="228"/>
      <c r="E259" s="228"/>
      <c r="F259" s="228"/>
      <c r="G259" s="229"/>
      <c r="H259" s="230"/>
      <c r="I259" s="230"/>
      <c r="J259" s="230"/>
      <c r="K259" s="231"/>
      <c r="L259" s="232"/>
      <c r="M259" s="232"/>
      <c r="N259" s="228"/>
      <c r="O259" s="233"/>
      <c r="P259" s="233"/>
      <c r="Q259" s="233"/>
      <c r="R259" s="234"/>
      <c r="S259" s="234"/>
      <c r="T259" s="235"/>
      <c r="U259" s="235"/>
      <c r="V259" s="235"/>
      <c r="W259" s="85"/>
      <c r="X259" s="85"/>
      <c r="Y259" s="85"/>
      <c r="Z259" s="85"/>
      <c r="AA259" s="85"/>
      <c r="AB259" s="85"/>
      <c r="AD259" s="11"/>
      <c r="AE259" s="12"/>
      <c r="AF259" s="13"/>
      <c r="AG259" s="13"/>
      <c r="AS259" s="14"/>
      <c r="AT259" s="13"/>
      <c r="AU259" s="13"/>
      <c r="AV259" s="13"/>
      <c r="AW259" s="13"/>
      <c r="AX259" s="15"/>
      <c r="AY259" s="16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</row>
    <row r="260" spans="1:64" ht="15" customHeight="1">
      <c r="A260" s="224"/>
      <c r="B260" s="94"/>
      <c r="C260" s="228"/>
      <c r="D260" s="228"/>
      <c r="E260" s="228"/>
      <c r="F260" s="228"/>
      <c r="G260" s="229"/>
      <c r="H260" s="230"/>
      <c r="I260" s="230"/>
      <c r="J260" s="230"/>
      <c r="K260" s="231"/>
      <c r="L260" s="232"/>
      <c r="M260" s="232"/>
      <c r="N260" s="228"/>
      <c r="O260" s="233"/>
      <c r="P260" s="233"/>
      <c r="Q260" s="233"/>
      <c r="R260" s="234"/>
      <c r="S260" s="234"/>
      <c r="T260" s="235"/>
      <c r="U260" s="235"/>
      <c r="V260" s="235"/>
      <c r="W260" s="85"/>
      <c r="X260" s="85"/>
      <c r="Y260" s="85"/>
      <c r="Z260" s="85"/>
      <c r="AA260" s="85"/>
      <c r="AB260" s="85"/>
      <c r="AD260" s="11"/>
      <c r="AE260" s="12"/>
      <c r="AF260" s="13"/>
      <c r="AG260" s="13"/>
      <c r="AS260" s="14"/>
      <c r="AT260" s="13"/>
      <c r="AU260" s="13"/>
      <c r="AV260" s="13"/>
      <c r="AW260" s="13"/>
      <c r="AX260" s="15"/>
      <c r="AY260" s="16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</row>
    <row r="261" spans="1:64" ht="15" customHeight="1">
      <c r="A261" s="224"/>
      <c r="B261" s="94"/>
      <c r="C261" s="228"/>
      <c r="D261" s="228"/>
      <c r="E261" s="228"/>
      <c r="F261" s="228"/>
      <c r="G261" s="229"/>
      <c r="H261" s="230"/>
      <c r="I261" s="230"/>
      <c r="J261" s="230"/>
      <c r="K261" s="231"/>
      <c r="L261" s="232"/>
      <c r="M261" s="232"/>
      <c r="N261" s="228"/>
      <c r="O261" s="233"/>
      <c r="P261" s="233"/>
      <c r="Q261" s="233"/>
      <c r="R261" s="234"/>
      <c r="S261" s="234"/>
      <c r="T261" s="235"/>
      <c r="U261" s="235"/>
      <c r="V261" s="235"/>
      <c r="W261" s="85"/>
      <c r="X261" s="85"/>
      <c r="Y261" s="85"/>
      <c r="Z261" s="85"/>
      <c r="AA261" s="85"/>
      <c r="AB261" s="85"/>
      <c r="AD261" s="11"/>
      <c r="AE261" s="12"/>
      <c r="AF261" s="13"/>
      <c r="AG261" s="13"/>
      <c r="AS261" s="14"/>
      <c r="AT261" s="13"/>
      <c r="AU261" s="13"/>
      <c r="AV261" s="13"/>
      <c r="AW261" s="13"/>
      <c r="AX261" s="15"/>
      <c r="AY261" s="16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</row>
    <row r="262" spans="1:64" ht="15" customHeight="1">
      <c r="A262" s="224"/>
      <c r="B262" s="94"/>
      <c r="C262" s="228"/>
      <c r="D262" s="228"/>
      <c r="E262" s="228"/>
      <c r="F262" s="228"/>
      <c r="G262" s="229"/>
      <c r="H262" s="230"/>
      <c r="I262" s="230"/>
      <c r="J262" s="230"/>
      <c r="K262" s="231"/>
      <c r="L262" s="232"/>
      <c r="M262" s="232"/>
      <c r="N262" s="228"/>
      <c r="O262" s="233"/>
      <c r="P262" s="233"/>
      <c r="Q262" s="233"/>
      <c r="R262" s="234"/>
      <c r="S262" s="234"/>
      <c r="T262" s="235"/>
      <c r="U262" s="235"/>
      <c r="V262" s="235"/>
      <c r="W262" s="85"/>
      <c r="X262" s="85"/>
      <c r="Y262" s="85"/>
      <c r="Z262" s="85"/>
      <c r="AA262" s="85"/>
      <c r="AB262" s="85"/>
      <c r="AD262" s="11"/>
      <c r="AE262" s="12"/>
      <c r="AF262" s="13"/>
      <c r="AG262" s="13"/>
      <c r="AS262" s="14"/>
      <c r="AT262" s="13"/>
      <c r="AU262" s="13"/>
      <c r="AV262" s="13"/>
      <c r="AW262" s="13"/>
      <c r="AX262" s="15"/>
      <c r="AY262" s="16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</row>
    <row r="263" spans="1:64" ht="15" customHeight="1">
      <c r="A263" s="224"/>
      <c r="B263" s="94"/>
      <c r="C263" s="228"/>
      <c r="D263" s="228"/>
      <c r="E263" s="228"/>
      <c r="F263" s="228"/>
      <c r="G263" s="229"/>
      <c r="H263" s="230"/>
      <c r="I263" s="230"/>
      <c r="J263" s="230"/>
      <c r="K263" s="231"/>
      <c r="L263" s="232"/>
      <c r="M263" s="232"/>
      <c r="N263" s="228"/>
      <c r="O263" s="233"/>
      <c r="P263" s="233"/>
      <c r="Q263" s="233"/>
      <c r="R263" s="234"/>
      <c r="S263" s="234"/>
      <c r="T263" s="235"/>
      <c r="U263" s="235"/>
      <c r="V263" s="235"/>
      <c r="W263" s="85"/>
      <c r="X263" s="85"/>
      <c r="Y263" s="85"/>
      <c r="Z263" s="85"/>
      <c r="AA263" s="85"/>
      <c r="AB263" s="85"/>
      <c r="AD263" s="11"/>
      <c r="AE263" s="12"/>
      <c r="AF263" s="13"/>
      <c r="AG263" s="13"/>
      <c r="AS263" s="14"/>
      <c r="AT263" s="13"/>
      <c r="AU263" s="13"/>
      <c r="AV263" s="13"/>
      <c r="AW263" s="13"/>
      <c r="AX263" s="15"/>
      <c r="AY263" s="16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</row>
    <row r="264" spans="1:64" ht="15" customHeight="1">
      <c r="A264" s="224"/>
      <c r="B264" s="245" t="s">
        <v>261</v>
      </c>
      <c r="C264" s="228"/>
      <c r="D264" s="228"/>
      <c r="E264" s="228"/>
      <c r="F264" s="228"/>
      <c r="G264" s="229"/>
      <c r="H264" s="230"/>
      <c r="I264" s="230"/>
      <c r="J264" s="230"/>
      <c r="K264" s="231"/>
      <c r="L264" s="232"/>
      <c r="M264" s="232"/>
      <c r="N264" s="228"/>
      <c r="O264" s="233"/>
      <c r="P264" s="233"/>
      <c r="Q264" s="233"/>
      <c r="R264" s="234"/>
      <c r="S264" s="234"/>
      <c r="T264" s="235"/>
      <c r="U264" s="235"/>
      <c r="V264" s="235"/>
      <c r="W264" s="85"/>
      <c r="X264" s="85"/>
      <c r="Y264" s="85"/>
      <c r="Z264" s="85"/>
      <c r="AA264" s="85"/>
      <c r="AD264" s="11"/>
      <c r="AE264" s="12"/>
      <c r="AF264" s="13"/>
      <c r="AG264" s="13"/>
      <c r="AS264" s="14"/>
      <c r="AT264" s="13"/>
      <c r="AU264" s="13"/>
      <c r="AV264" s="13"/>
      <c r="AW264" s="13"/>
      <c r="AX264" s="15"/>
      <c r="AY264" s="16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</row>
    <row r="265" spans="1:64" ht="15" customHeight="1">
      <c r="A265" s="224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D265" s="11"/>
      <c r="AE265" s="12"/>
      <c r="AF265" s="13"/>
      <c r="AG265" s="13"/>
      <c r="AS265" s="14"/>
      <c r="AT265" s="13"/>
      <c r="AU265" s="13"/>
      <c r="AV265" s="13"/>
      <c r="AW265" s="13"/>
      <c r="AX265" s="15"/>
      <c r="AY265" s="16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</row>
    <row r="266" spans="1:64" ht="15" customHeight="1">
      <c r="A266" s="246"/>
      <c r="B266" s="132"/>
      <c r="C266" s="132" t="s">
        <v>262</v>
      </c>
      <c r="D266" s="132"/>
      <c r="E266" s="132"/>
      <c r="F266" s="132"/>
      <c r="G266" s="132"/>
      <c r="H266" s="132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85"/>
      <c r="AA266" s="85"/>
      <c r="AD266" s="11"/>
      <c r="AE266" s="12"/>
      <c r="AF266" s="13"/>
      <c r="AG266" s="13"/>
      <c r="AS266" s="14"/>
      <c r="AT266" s="13"/>
      <c r="AU266" s="13"/>
      <c r="AV266" s="13"/>
      <c r="AW266" s="13"/>
      <c r="AX266" s="15"/>
      <c r="AY266" s="16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</row>
    <row r="267" spans="1:64" ht="15" customHeight="1">
      <c r="A267" s="246"/>
      <c r="B267" s="132"/>
      <c r="C267" s="132"/>
      <c r="D267" s="132"/>
      <c r="E267" s="132"/>
      <c r="F267" s="132"/>
      <c r="G267" s="132"/>
      <c r="H267" s="132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85"/>
      <c r="AA267" s="85"/>
      <c r="AD267" s="11"/>
      <c r="AE267" s="12"/>
      <c r="AF267" s="13"/>
      <c r="AG267" s="13"/>
      <c r="AS267" s="14"/>
      <c r="AT267" s="13"/>
      <c r="AU267" s="13"/>
      <c r="AV267" s="13"/>
      <c r="AW267" s="13"/>
      <c r="AX267" s="15"/>
      <c r="AY267" s="16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</row>
    <row r="268" spans="1:64" ht="15" customHeight="1">
      <c r="A268" s="130"/>
      <c r="B268" s="85"/>
      <c r="C268" s="77"/>
      <c r="D268" s="213" t="s">
        <v>263</v>
      </c>
      <c r="E268" s="213"/>
      <c r="F268" s="213"/>
      <c r="G268" s="213"/>
      <c r="H268" s="213"/>
      <c r="I268" s="213"/>
      <c r="J268" s="213"/>
      <c r="K268" s="213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85"/>
      <c r="AA268" s="85"/>
      <c r="AD268" s="11"/>
      <c r="AE268" s="12"/>
      <c r="AF268" s="13"/>
      <c r="AG268" s="13"/>
      <c r="AS268" s="14"/>
      <c r="AT268" s="13"/>
      <c r="AU268" s="13"/>
      <c r="AV268" s="13"/>
      <c r="AW268" s="13"/>
      <c r="AX268" s="15"/>
      <c r="AY268" s="16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</row>
    <row r="269" spans="1:64" ht="15" customHeight="1">
      <c r="A269" s="130"/>
      <c r="B269" s="85"/>
      <c r="C269" s="77"/>
      <c r="D269" s="213"/>
      <c r="E269" s="213"/>
      <c r="F269" s="213"/>
      <c r="G269" s="213"/>
      <c r="H269" s="213"/>
      <c r="I269" s="213"/>
      <c r="J269" s="213"/>
      <c r="K269" s="213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85"/>
      <c r="AA269" s="85"/>
      <c r="AD269" s="11"/>
      <c r="AE269" s="12"/>
      <c r="AF269" s="13"/>
      <c r="AG269" s="13"/>
      <c r="AS269" s="14"/>
      <c r="AT269" s="13"/>
      <c r="AU269" s="13"/>
      <c r="AV269" s="13"/>
      <c r="AW269" s="13"/>
      <c r="AX269" s="15"/>
      <c r="AY269" s="16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</row>
    <row r="270" spans="1:64" ht="15" customHeight="1">
      <c r="A270" s="130"/>
      <c r="B270" s="130"/>
      <c r="C270" s="213"/>
      <c r="D270" s="213" t="s">
        <v>264</v>
      </c>
      <c r="E270" s="213"/>
      <c r="F270" s="213" t="s">
        <v>265</v>
      </c>
      <c r="G270" s="213"/>
      <c r="H270" s="213"/>
      <c r="I270" s="213"/>
      <c r="J270" s="213"/>
      <c r="K270" s="213"/>
      <c r="L270" s="247"/>
      <c r="M270" s="247"/>
      <c r="N270" s="247"/>
      <c r="O270" s="247"/>
      <c r="P270" s="247"/>
      <c r="Q270" s="247"/>
      <c r="R270" s="130"/>
      <c r="S270" s="130"/>
      <c r="T270" s="130"/>
      <c r="U270" s="130"/>
      <c r="V270" s="130"/>
      <c r="W270" s="130"/>
      <c r="X270" s="130"/>
      <c r="Y270" s="130"/>
      <c r="Z270" s="85"/>
      <c r="AA270" s="85"/>
      <c r="AD270" s="11"/>
      <c r="AE270" s="12"/>
      <c r="AF270" s="13"/>
      <c r="AG270" s="13"/>
      <c r="AS270" s="14"/>
      <c r="AT270" s="13"/>
      <c r="AU270" s="13"/>
      <c r="AV270" s="13"/>
      <c r="AW270" s="13"/>
      <c r="AX270" s="15"/>
      <c r="AY270" s="16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</row>
    <row r="271" spans="1:64" ht="15" customHeight="1">
      <c r="A271" s="130"/>
      <c r="B271" s="130"/>
      <c r="C271" s="213"/>
      <c r="D271" s="213"/>
      <c r="E271" s="213"/>
      <c r="F271" s="213"/>
      <c r="G271" s="213"/>
      <c r="H271" s="213"/>
      <c r="I271" s="213"/>
      <c r="J271" s="213"/>
      <c r="K271" s="213"/>
      <c r="L271" s="247"/>
      <c r="M271" s="247"/>
      <c r="N271" s="247"/>
      <c r="O271" s="247"/>
      <c r="P271" s="247"/>
      <c r="Q271" s="247"/>
      <c r="R271" s="130"/>
      <c r="S271" s="130"/>
      <c r="T271" s="130"/>
      <c r="U271" s="130"/>
      <c r="V271" s="130"/>
      <c r="W271" s="130"/>
      <c r="X271" s="130"/>
      <c r="Y271" s="130"/>
      <c r="Z271" s="85"/>
      <c r="AA271" s="85"/>
      <c r="AD271" s="11"/>
      <c r="AE271" s="12"/>
      <c r="AF271" s="13"/>
      <c r="AG271" s="13"/>
      <c r="AS271" s="14"/>
      <c r="AT271" s="13"/>
      <c r="AU271" s="13"/>
      <c r="AV271" s="13"/>
      <c r="AW271" s="13"/>
      <c r="AX271" s="15"/>
      <c r="AY271" s="16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</row>
    <row r="272" spans="1:64" ht="15" customHeight="1">
      <c r="A272" s="130"/>
      <c r="B272" s="130"/>
      <c r="C272" s="77"/>
      <c r="D272" s="248" t="s">
        <v>266</v>
      </c>
      <c r="E272" s="249" t="s">
        <v>267</v>
      </c>
      <c r="F272" s="249"/>
      <c r="G272" s="249"/>
      <c r="H272" s="249"/>
      <c r="I272" s="249"/>
      <c r="J272" s="249"/>
      <c r="K272" s="249"/>
      <c r="L272" s="250"/>
      <c r="M272" s="250"/>
      <c r="N272" s="250"/>
      <c r="O272" s="250"/>
      <c r="P272" s="250"/>
      <c r="Q272" s="250"/>
      <c r="R272" s="132"/>
      <c r="S272" s="132"/>
      <c r="T272" s="132"/>
      <c r="U272" s="132"/>
      <c r="V272" s="132"/>
      <c r="W272" s="132"/>
      <c r="X272" s="132"/>
      <c r="Y272" s="132"/>
      <c r="Z272" s="85"/>
      <c r="AA272" s="85"/>
      <c r="AD272" s="11"/>
      <c r="AE272" s="12"/>
      <c r="AF272" s="13"/>
      <c r="AG272" s="13"/>
      <c r="AS272" s="14"/>
      <c r="AT272" s="13"/>
      <c r="AU272" s="13"/>
      <c r="AV272" s="13"/>
      <c r="AW272" s="13"/>
      <c r="AX272" s="15"/>
      <c r="AY272" s="16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</row>
    <row r="273" spans="1:64" ht="15" customHeight="1">
      <c r="A273" s="130"/>
      <c r="B273" s="130"/>
      <c r="C273" s="77"/>
      <c r="D273" s="77"/>
      <c r="E273" s="249"/>
      <c r="F273" s="249"/>
      <c r="G273" s="249"/>
      <c r="H273" s="249"/>
      <c r="I273" s="249"/>
      <c r="J273" s="249"/>
      <c r="K273" s="249"/>
      <c r="L273" s="250"/>
      <c r="M273" s="250"/>
      <c r="N273" s="250"/>
      <c r="O273" s="250"/>
      <c r="P273" s="250"/>
      <c r="Q273" s="250"/>
      <c r="R273" s="132"/>
      <c r="S273" s="132"/>
      <c r="T273" s="132"/>
      <c r="U273" s="132"/>
      <c r="V273" s="132"/>
      <c r="W273" s="132"/>
      <c r="X273" s="132"/>
      <c r="Y273" s="132"/>
      <c r="Z273" s="85"/>
      <c r="AA273" s="85"/>
      <c r="AD273" s="11"/>
      <c r="AE273" s="12"/>
      <c r="AF273" s="13"/>
      <c r="AG273" s="13"/>
      <c r="AS273" s="14"/>
      <c r="AT273" s="13"/>
      <c r="AU273" s="13"/>
      <c r="AV273" s="13"/>
      <c r="AW273" s="13"/>
      <c r="AX273" s="15"/>
      <c r="AY273" s="16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</row>
    <row r="274" spans="1:64" ht="15" customHeight="1">
      <c r="A274" s="130"/>
      <c r="B274" s="130"/>
      <c r="C274" s="77"/>
      <c r="D274" s="213" t="s">
        <v>268</v>
      </c>
      <c r="E274" s="249"/>
      <c r="F274" s="213" t="s">
        <v>269</v>
      </c>
      <c r="G274" s="249"/>
      <c r="H274" s="249"/>
      <c r="I274" s="249"/>
      <c r="J274" s="249"/>
      <c r="K274" s="249"/>
      <c r="L274" s="132"/>
      <c r="M274" s="132"/>
      <c r="N274" s="132"/>
      <c r="O274" s="251" t="s">
        <v>270</v>
      </c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85"/>
      <c r="AA274" s="85"/>
      <c r="AD274" s="11"/>
      <c r="AE274" s="12"/>
      <c r="AF274" s="13"/>
      <c r="AG274" s="13"/>
      <c r="AS274" s="14"/>
      <c r="AT274" s="13"/>
      <c r="AU274" s="13"/>
      <c r="AV274" s="13"/>
      <c r="AW274" s="13"/>
      <c r="AX274" s="15"/>
      <c r="AY274" s="16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</row>
    <row r="275" spans="1:64" ht="15" customHeight="1">
      <c r="A275" s="130"/>
      <c r="B275" s="130"/>
      <c r="C275" s="77"/>
      <c r="D275" s="213"/>
      <c r="E275" s="249"/>
      <c r="F275" s="213"/>
      <c r="G275" s="249"/>
      <c r="H275" s="249"/>
      <c r="I275" s="249"/>
      <c r="J275" s="249"/>
      <c r="K275" s="249"/>
      <c r="L275" s="132"/>
      <c r="M275" s="132"/>
      <c r="N275" s="132"/>
      <c r="O275" s="251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85"/>
      <c r="AA275" s="85"/>
      <c r="AD275" s="11"/>
      <c r="AE275" s="12"/>
      <c r="AF275" s="13"/>
      <c r="AG275" s="13"/>
      <c r="AS275" s="14"/>
      <c r="AT275" s="13"/>
      <c r="AU275" s="13"/>
      <c r="AV275" s="13"/>
      <c r="AW275" s="13"/>
      <c r="AX275" s="15"/>
      <c r="AY275" s="16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</row>
    <row r="276" spans="1:64" ht="15" customHeight="1">
      <c r="A276" s="130"/>
      <c r="B276" s="130"/>
      <c r="C276" s="77"/>
      <c r="D276" s="90" t="s">
        <v>271</v>
      </c>
      <c r="E276" s="85" t="s">
        <v>272</v>
      </c>
      <c r="F276" s="85"/>
      <c r="G276" s="249"/>
      <c r="H276" s="249"/>
      <c r="I276" s="249"/>
      <c r="J276" s="249"/>
      <c r="K276" s="249"/>
      <c r="L276" s="132"/>
      <c r="M276" s="132"/>
      <c r="N276" s="132"/>
      <c r="O276" s="132" t="s">
        <v>273</v>
      </c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85"/>
      <c r="AA276" s="85"/>
      <c r="AD276" s="11"/>
      <c r="AE276" s="12"/>
      <c r="AF276" s="13"/>
      <c r="AG276" s="13"/>
      <c r="AS276" s="14"/>
      <c r="AT276" s="13"/>
      <c r="AU276" s="13"/>
      <c r="AV276" s="13"/>
      <c r="AW276" s="13"/>
      <c r="AX276" s="15"/>
      <c r="AY276" s="16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</row>
    <row r="277" spans="1:64" ht="15" customHeight="1">
      <c r="A277" s="130"/>
      <c r="B277" s="130"/>
      <c r="C277" s="77"/>
      <c r="D277" s="90"/>
      <c r="E277" s="85"/>
      <c r="F277" s="85"/>
      <c r="G277" s="249"/>
      <c r="H277" s="249"/>
      <c r="I277" s="249"/>
      <c r="J277" s="249"/>
      <c r="K277" s="249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85"/>
      <c r="AA277" s="85"/>
      <c r="AD277" s="11"/>
      <c r="AE277" s="12"/>
      <c r="AF277" s="13"/>
      <c r="AG277" s="13"/>
      <c r="AS277" s="14"/>
      <c r="AT277" s="13"/>
      <c r="AU277" s="13"/>
      <c r="AV277" s="13"/>
      <c r="AW277" s="13"/>
      <c r="AX277" s="15"/>
      <c r="AY277" s="16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</row>
    <row r="278" spans="1:64" ht="15" customHeight="1">
      <c r="A278" s="130"/>
      <c r="B278" s="130"/>
      <c r="C278" s="77"/>
      <c r="D278" s="77" t="s">
        <v>274</v>
      </c>
      <c r="E278" s="249"/>
      <c r="F278" s="249"/>
      <c r="G278" s="249"/>
      <c r="H278" s="249"/>
      <c r="I278" s="249"/>
      <c r="J278" s="249"/>
      <c r="K278" s="249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85"/>
      <c r="AA278" s="85"/>
      <c r="AD278" s="11"/>
      <c r="AE278" s="12"/>
      <c r="AF278" s="13"/>
      <c r="AG278" s="13"/>
      <c r="AS278" s="14"/>
      <c r="AT278" s="13"/>
      <c r="AU278" s="13"/>
      <c r="AV278" s="13"/>
      <c r="AW278" s="13"/>
      <c r="AX278" s="15"/>
      <c r="AY278" s="16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</row>
    <row r="279" spans="1:64" ht="15" customHeight="1">
      <c r="A279" s="130"/>
      <c r="B279" s="130"/>
      <c r="C279" s="77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85"/>
      <c r="AA279" s="85"/>
      <c r="AD279" s="11"/>
      <c r="AE279" s="12"/>
      <c r="AF279" s="13"/>
      <c r="AG279" s="13"/>
      <c r="AS279" s="14"/>
      <c r="AT279" s="13"/>
      <c r="AU279" s="13"/>
      <c r="AV279" s="13"/>
      <c r="AW279" s="13"/>
      <c r="AX279" s="15"/>
      <c r="AY279" s="16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</row>
    <row r="280" spans="1:64" ht="15" customHeight="1">
      <c r="A280" s="130"/>
      <c r="B280" s="130"/>
      <c r="C280" s="77"/>
      <c r="D280" s="85"/>
      <c r="E280" s="77" t="s">
        <v>275</v>
      </c>
      <c r="F280" s="249"/>
      <c r="G280" s="249"/>
      <c r="H280" s="249"/>
      <c r="I280" s="249"/>
      <c r="J280" s="249"/>
      <c r="K280" s="249"/>
      <c r="L280" s="249"/>
      <c r="M280" s="77" t="s">
        <v>276</v>
      </c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85"/>
      <c r="AA280" s="85"/>
      <c r="AD280" s="11"/>
      <c r="AE280" s="12"/>
      <c r="AF280" s="13"/>
      <c r="AG280" s="13"/>
      <c r="AS280" s="14"/>
      <c r="AT280" s="13"/>
      <c r="AU280" s="13"/>
      <c r="AV280" s="13"/>
      <c r="AW280" s="13"/>
      <c r="AX280" s="15"/>
      <c r="AY280" s="16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</row>
    <row r="281" spans="1:64" ht="15" customHeight="1">
      <c r="A281" s="130"/>
      <c r="B281" s="130"/>
      <c r="C281" s="77"/>
      <c r="D281" s="77"/>
      <c r="E281" s="249"/>
      <c r="F281" s="249"/>
      <c r="G281" s="249"/>
      <c r="H281" s="249"/>
      <c r="I281" s="249"/>
      <c r="J281" s="249"/>
      <c r="K281" s="249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85"/>
      <c r="AA281" s="85"/>
      <c r="AD281" s="11"/>
      <c r="AE281" s="12"/>
      <c r="AF281" s="13"/>
      <c r="AG281" s="13"/>
      <c r="AS281" s="14"/>
      <c r="AT281" s="13"/>
      <c r="AU281" s="13"/>
      <c r="AV281" s="13"/>
      <c r="AW281" s="13"/>
      <c r="AX281" s="15"/>
      <c r="AY281" s="16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</row>
    <row r="282" spans="1:64" ht="15" customHeight="1">
      <c r="A282" s="130"/>
      <c r="B282" s="130"/>
      <c r="C282" s="85"/>
      <c r="D282" s="85" t="s">
        <v>277</v>
      </c>
      <c r="E282" s="213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85"/>
      <c r="AA282" s="85"/>
      <c r="AD282" s="11"/>
      <c r="AE282" s="12"/>
      <c r="AF282" s="13"/>
      <c r="AG282" s="13"/>
      <c r="AS282" s="14"/>
      <c r="AT282" s="13"/>
      <c r="AU282" s="13"/>
      <c r="AV282" s="13"/>
      <c r="AW282" s="13"/>
      <c r="AX282" s="15"/>
      <c r="AY282" s="16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</row>
    <row r="283" spans="1:64" ht="17.25" customHeight="1">
      <c r="A283" s="130"/>
      <c r="B283" s="130"/>
      <c r="C283" s="85"/>
      <c r="D283" s="85"/>
      <c r="E283" s="213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85"/>
      <c r="AA283" s="85"/>
      <c r="AD283" s="11"/>
      <c r="AE283" s="12"/>
      <c r="AF283" s="13"/>
      <c r="AG283" s="13"/>
      <c r="AS283" s="14"/>
      <c r="AT283" s="13"/>
      <c r="AU283" s="13"/>
      <c r="AV283" s="13"/>
      <c r="AW283" s="13"/>
      <c r="AX283" s="15"/>
      <c r="AY283" s="16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</row>
    <row r="284" spans="1:64" ht="15" customHeight="1">
      <c r="A284" s="130"/>
      <c r="B284" s="130"/>
      <c r="C284" s="85"/>
      <c r="D284" s="85" t="s">
        <v>278</v>
      </c>
      <c r="E284" s="85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85"/>
      <c r="AA284" s="85"/>
      <c r="AD284" s="11"/>
      <c r="AE284" s="12"/>
      <c r="AF284" s="13"/>
      <c r="AG284" s="13"/>
      <c r="AS284" s="14"/>
      <c r="AT284" s="13"/>
      <c r="AU284" s="13"/>
      <c r="AV284" s="13"/>
      <c r="AW284" s="13"/>
      <c r="AX284" s="15"/>
      <c r="AY284" s="16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</row>
    <row r="285" spans="1:64" ht="15" customHeight="1">
      <c r="A285" s="130"/>
      <c r="B285" s="130"/>
      <c r="C285" s="85"/>
      <c r="D285" s="85"/>
      <c r="E285" s="85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85"/>
      <c r="AA285" s="85"/>
      <c r="AD285" s="11"/>
      <c r="AE285" s="12"/>
      <c r="AF285" s="13"/>
      <c r="AG285" s="13"/>
      <c r="AS285" s="14"/>
      <c r="AT285" s="13"/>
      <c r="AU285" s="13"/>
      <c r="AV285" s="13"/>
      <c r="AW285" s="13"/>
      <c r="AX285" s="15"/>
      <c r="AY285" s="16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</row>
    <row r="286" spans="1:64" ht="15" customHeight="1">
      <c r="A286" s="130"/>
      <c r="B286" s="130"/>
      <c r="C286" s="85"/>
      <c r="D286" s="85" t="s">
        <v>279</v>
      </c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85"/>
      <c r="AA286" s="85"/>
      <c r="AD286" s="11"/>
      <c r="AE286" s="12"/>
      <c r="AF286" s="13"/>
      <c r="AG286" s="13"/>
      <c r="AS286" s="14"/>
      <c r="AT286" s="13"/>
      <c r="AU286" s="13"/>
      <c r="AV286" s="13"/>
      <c r="AW286" s="13"/>
      <c r="AX286" s="15"/>
      <c r="AY286" s="16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</row>
    <row r="287" spans="1:64" ht="15" customHeight="1">
      <c r="A287" s="130"/>
      <c r="B287" s="130"/>
      <c r="C287" s="85"/>
      <c r="D287" s="85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85"/>
      <c r="AA287" s="85"/>
      <c r="AD287" s="11"/>
      <c r="AE287" s="12"/>
      <c r="AF287" s="13"/>
      <c r="AG287" s="13"/>
      <c r="AS287" s="14"/>
      <c r="AT287" s="13"/>
      <c r="AU287" s="13"/>
      <c r="AV287" s="13"/>
      <c r="AW287" s="13"/>
      <c r="AX287" s="15"/>
      <c r="AY287" s="16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</row>
    <row r="288" spans="1:64" ht="15" customHeight="1">
      <c r="A288" s="130"/>
      <c r="B288" s="130"/>
      <c r="C288" s="85"/>
      <c r="D288" s="85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85"/>
      <c r="AA288" s="85"/>
      <c r="AD288" s="11"/>
      <c r="AE288" s="12"/>
      <c r="AF288" s="13"/>
      <c r="AG288" s="13"/>
      <c r="AS288" s="14"/>
      <c r="AT288" s="13"/>
      <c r="AU288" s="13"/>
      <c r="AV288" s="13"/>
      <c r="AW288" s="13"/>
      <c r="AX288" s="15"/>
      <c r="AY288" s="16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</row>
    <row r="289" spans="1:64" ht="15" customHeight="1">
      <c r="A289" s="130"/>
      <c r="B289" s="130"/>
      <c r="C289" s="85"/>
      <c r="D289" s="85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85"/>
      <c r="AA289" s="85"/>
      <c r="AD289" s="11"/>
      <c r="AE289" s="12"/>
      <c r="AF289" s="13"/>
      <c r="AG289" s="13"/>
      <c r="AS289" s="14"/>
      <c r="AT289" s="13"/>
      <c r="AU289" s="13"/>
      <c r="AV289" s="13"/>
      <c r="AW289" s="13"/>
      <c r="AX289" s="15"/>
      <c r="AY289" s="16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</row>
    <row r="290" spans="1:64" ht="15" customHeight="1">
      <c r="A290" s="130"/>
      <c r="B290" s="130"/>
      <c r="C290" s="85"/>
      <c r="D290" s="85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85"/>
      <c r="AA290" s="85"/>
      <c r="AD290" s="11"/>
      <c r="AE290" s="12"/>
      <c r="AF290" s="13"/>
      <c r="AG290" s="13"/>
      <c r="AS290" s="14"/>
      <c r="AT290" s="13"/>
      <c r="AU290" s="13"/>
      <c r="AV290" s="13"/>
      <c r="AW290" s="13"/>
      <c r="AX290" s="15"/>
      <c r="AY290" s="16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</row>
    <row r="291" spans="1:64" ht="15" customHeight="1">
      <c r="A291" s="130"/>
      <c r="B291" s="130"/>
      <c r="C291" s="85"/>
      <c r="D291" s="85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85"/>
      <c r="AA291" s="85"/>
      <c r="AD291" s="11"/>
      <c r="AE291" s="12"/>
      <c r="AF291" s="13"/>
      <c r="AG291" s="13"/>
      <c r="AS291" s="14"/>
      <c r="AT291" s="13"/>
      <c r="AU291" s="13"/>
      <c r="AV291" s="13"/>
      <c r="AW291" s="13"/>
      <c r="AX291" s="15"/>
      <c r="AY291" s="16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</row>
    <row r="292" spans="1:64" ht="15" customHeight="1">
      <c r="A292" s="130"/>
      <c r="B292" s="130"/>
      <c r="C292" s="85"/>
      <c r="D292" s="85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85"/>
      <c r="AA292" s="85"/>
      <c r="AD292" s="11"/>
      <c r="AE292" s="12"/>
      <c r="AF292" s="13"/>
      <c r="AG292" s="13"/>
      <c r="AS292" s="14"/>
      <c r="AT292" s="13"/>
      <c r="AU292" s="13"/>
      <c r="AV292" s="13"/>
      <c r="AW292" s="13"/>
      <c r="AX292" s="15"/>
      <c r="AY292" s="16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</row>
    <row r="293" spans="1:64" ht="15" customHeight="1">
      <c r="A293" s="130"/>
      <c r="B293" s="130"/>
      <c r="C293" s="85"/>
      <c r="D293" s="85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85"/>
      <c r="AA293" s="85"/>
      <c r="AD293" s="11"/>
      <c r="AE293" s="12"/>
      <c r="AF293" s="13"/>
      <c r="AG293" s="13"/>
      <c r="AS293" s="14"/>
      <c r="AT293" s="13"/>
      <c r="AU293" s="13"/>
      <c r="AV293" s="13"/>
      <c r="AW293" s="13"/>
      <c r="AX293" s="15"/>
      <c r="AY293" s="16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</row>
    <row r="294" spans="1:64" ht="15" customHeight="1">
      <c r="A294" s="130"/>
      <c r="B294" s="130"/>
      <c r="C294" s="85"/>
      <c r="D294" s="85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85"/>
      <c r="AA294" s="85"/>
      <c r="AD294" s="11"/>
      <c r="AE294" s="12"/>
      <c r="AF294" s="13"/>
      <c r="AG294" s="13"/>
      <c r="AS294" s="14"/>
      <c r="AT294" s="13"/>
      <c r="AU294" s="13"/>
      <c r="AV294" s="13"/>
      <c r="AW294" s="13"/>
      <c r="AX294" s="15"/>
      <c r="AY294" s="16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</row>
    <row r="295" spans="1:64" ht="15" customHeight="1">
      <c r="A295" s="130"/>
      <c r="B295" s="130"/>
      <c r="C295" s="85"/>
      <c r="D295" s="85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85"/>
      <c r="AA295" s="85"/>
      <c r="AD295" s="11"/>
      <c r="AE295" s="12"/>
      <c r="AF295" s="13"/>
      <c r="AG295" s="13"/>
      <c r="AS295" s="14"/>
      <c r="AT295" s="13"/>
      <c r="AU295" s="13"/>
      <c r="AV295" s="13"/>
      <c r="AW295" s="13"/>
      <c r="AX295" s="15"/>
      <c r="AY295" s="16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</row>
    <row r="296" spans="1:64" ht="15" customHeight="1">
      <c r="A296" s="130"/>
      <c r="B296" s="130"/>
      <c r="C296" s="85"/>
      <c r="D296" s="85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85"/>
      <c r="AA296" s="85"/>
      <c r="AD296" s="11"/>
      <c r="AE296" s="12"/>
      <c r="AF296" s="13"/>
      <c r="AG296" s="13"/>
      <c r="AS296" s="14"/>
      <c r="AT296" s="13"/>
      <c r="AU296" s="13"/>
      <c r="AV296" s="13"/>
      <c r="AW296" s="13"/>
      <c r="AX296" s="15"/>
      <c r="AY296" s="16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</row>
    <row r="297" spans="1:64" ht="15" customHeight="1">
      <c r="A297" s="130"/>
      <c r="B297" s="130"/>
      <c r="C297" s="85"/>
      <c r="D297" s="85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85"/>
      <c r="AA297" s="85"/>
      <c r="AD297" s="11"/>
      <c r="AE297" s="12"/>
      <c r="AF297" s="13"/>
      <c r="AG297" s="13"/>
      <c r="AS297" s="14"/>
      <c r="AT297" s="13"/>
      <c r="AU297" s="13"/>
      <c r="AV297" s="13"/>
      <c r="AW297" s="13"/>
      <c r="AX297" s="15"/>
      <c r="AY297" s="16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</row>
    <row r="298" spans="1:64" ht="15" customHeight="1">
      <c r="A298" s="130"/>
      <c r="B298" s="130"/>
      <c r="C298" s="85"/>
      <c r="D298" s="85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85"/>
      <c r="AA298" s="85"/>
      <c r="AD298" s="11"/>
      <c r="AE298" s="12"/>
      <c r="AF298" s="13"/>
      <c r="AG298" s="13"/>
      <c r="AS298" s="14"/>
      <c r="AT298" s="13"/>
      <c r="AU298" s="13"/>
      <c r="AV298" s="13"/>
      <c r="AW298" s="13"/>
      <c r="AX298" s="15"/>
      <c r="AY298" s="16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</row>
    <row r="299" spans="1:64" ht="15" customHeight="1">
      <c r="A299" s="130"/>
      <c r="B299" s="130"/>
      <c r="C299" s="85"/>
      <c r="D299" s="85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85"/>
      <c r="AA299" s="85"/>
      <c r="AD299" s="11"/>
      <c r="AE299" s="12"/>
      <c r="AF299" s="13"/>
      <c r="AG299" s="13"/>
      <c r="AS299" s="14"/>
      <c r="AT299" s="13"/>
      <c r="AU299" s="13"/>
      <c r="AV299" s="13"/>
      <c r="AW299" s="13"/>
      <c r="AX299" s="15"/>
      <c r="AY299" s="16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</row>
    <row r="300" spans="1:64" ht="15" customHeight="1">
      <c r="A300" s="130"/>
      <c r="B300" s="130"/>
      <c r="C300" s="85"/>
      <c r="D300" s="85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85"/>
      <c r="AA300" s="85"/>
      <c r="AD300" s="11"/>
      <c r="AE300" s="12"/>
      <c r="AF300" s="13"/>
      <c r="AG300" s="13"/>
      <c r="AS300" s="14"/>
      <c r="AT300" s="13"/>
      <c r="AU300" s="13"/>
      <c r="AV300" s="13"/>
      <c r="AW300" s="13"/>
      <c r="AX300" s="15"/>
      <c r="AY300" s="16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</row>
    <row r="301" spans="1:64" ht="15" customHeight="1">
      <c r="A301" s="130"/>
      <c r="B301" s="130"/>
      <c r="C301" s="85"/>
      <c r="D301" s="85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85"/>
      <c r="AA301" s="85"/>
      <c r="AD301" s="11"/>
      <c r="AE301" s="12"/>
      <c r="AF301" s="13"/>
      <c r="AG301" s="13"/>
      <c r="AS301" s="14"/>
      <c r="AT301" s="13"/>
      <c r="AU301" s="13"/>
      <c r="AV301" s="13"/>
      <c r="AW301" s="13"/>
      <c r="AX301" s="15"/>
      <c r="AY301" s="16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</row>
    <row r="302" spans="1:64" ht="12" customHeight="1">
      <c r="A302" s="130"/>
      <c r="B302" s="130"/>
      <c r="C302" s="85"/>
      <c r="D302" s="85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85"/>
      <c r="AA302" s="85"/>
      <c r="AD302" s="11"/>
      <c r="AE302" s="12"/>
      <c r="AF302" s="13"/>
      <c r="AG302" s="13"/>
      <c r="AS302" s="14"/>
      <c r="AT302" s="13"/>
      <c r="AU302" s="13"/>
      <c r="AV302" s="13"/>
      <c r="AW302" s="13"/>
      <c r="AX302" s="15"/>
      <c r="AY302" s="16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</row>
    <row r="303" spans="1:64" ht="15" customHeight="1">
      <c r="A303" s="136"/>
      <c r="B303" s="136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AD303" s="11"/>
      <c r="AE303" s="12"/>
      <c r="AF303" s="13"/>
      <c r="AG303" s="13"/>
      <c r="AS303" s="14"/>
      <c r="AT303" s="13"/>
      <c r="AU303" s="13"/>
      <c r="AV303" s="13"/>
      <c r="AW303" s="13"/>
      <c r="AX303" s="15"/>
      <c r="AY303" s="16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</row>
    <row r="304" spans="1:64" ht="15" customHeight="1">
      <c r="A304" s="136"/>
      <c r="B304" s="136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AD304" s="11"/>
      <c r="AE304" s="12"/>
      <c r="AF304" s="13"/>
      <c r="AG304" s="13"/>
      <c r="AS304" s="14"/>
      <c r="AT304" s="13"/>
      <c r="AU304" s="13"/>
      <c r="AV304" s="13"/>
      <c r="AW304" s="13"/>
      <c r="AX304" s="15"/>
      <c r="AY304" s="16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</row>
    <row r="305" spans="1:64" ht="15" customHeight="1">
      <c r="A305" s="136"/>
      <c r="B305" s="136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AD305" s="11"/>
      <c r="AE305" s="12"/>
      <c r="AF305" s="13"/>
      <c r="AG305" s="13"/>
      <c r="AS305" s="14"/>
      <c r="AT305" s="13"/>
      <c r="AU305" s="13"/>
      <c r="AV305" s="13"/>
      <c r="AW305" s="13"/>
      <c r="AX305" s="15"/>
      <c r="AY305" s="16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</row>
    <row r="306" spans="1:64" ht="15" customHeight="1">
      <c r="A306" s="136"/>
      <c r="B306" s="136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AD306" s="11"/>
      <c r="AE306" s="12"/>
      <c r="AF306" s="13"/>
      <c r="AG306" s="13"/>
      <c r="AS306" s="14"/>
      <c r="AT306" s="13"/>
      <c r="AU306" s="13"/>
      <c r="AV306" s="13"/>
      <c r="AW306" s="13"/>
      <c r="AX306" s="15"/>
      <c r="AY306" s="16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</row>
    <row r="307" spans="1:64" ht="15" customHeight="1">
      <c r="A307" s="136"/>
      <c r="B307" s="136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AD307" s="11"/>
      <c r="AE307" s="12"/>
      <c r="AF307" s="13"/>
      <c r="AG307" s="13"/>
      <c r="AS307" s="14"/>
      <c r="AT307" s="13"/>
      <c r="AU307" s="13"/>
      <c r="AV307" s="13"/>
      <c r="AW307" s="13"/>
      <c r="AX307" s="15"/>
      <c r="AY307" s="16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</row>
    <row r="308" spans="1:64" ht="15" customHeight="1">
      <c r="A308" s="136"/>
      <c r="B308" s="136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AD308" s="11"/>
      <c r="AE308" s="12"/>
      <c r="AF308" s="13"/>
      <c r="AG308" s="13"/>
      <c r="AS308" s="14"/>
      <c r="AT308" s="13"/>
      <c r="AU308" s="13"/>
      <c r="AV308" s="13"/>
      <c r="AW308" s="13"/>
      <c r="AX308" s="15"/>
      <c r="AY308" s="16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</row>
    <row r="309" spans="1:64" ht="15" customHeight="1">
      <c r="A309" s="136"/>
      <c r="B309" s="136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AD309" s="11"/>
      <c r="AE309" s="12"/>
      <c r="AF309" s="13"/>
      <c r="AG309" s="13"/>
      <c r="AS309" s="14"/>
      <c r="AT309" s="13"/>
      <c r="AU309" s="13"/>
      <c r="AV309" s="13"/>
      <c r="AW309" s="13"/>
      <c r="AX309" s="15"/>
      <c r="AY309" s="16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</row>
    <row r="310" spans="1:64" ht="15" customHeight="1">
      <c r="A310" s="136"/>
      <c r="B310" s="136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AD310" s="11"/>
      <c r="AE310" s="12"/>
      <c r="AF310" s="13"/>
      <c r="AG310" s="13"/>
      <c r="AS310" s="14"/>
      <c r="AT310" s="13"/>
      <c r="AU310" s="13"/>
      <c r="AV310" s="13"/>
      <c r="AW310" s="13"/>
      <c r="AX310" s="15"/>
      <c r="AY310" s="16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</row>
    <row r="311" spans="1:64" ht="15" customHeight="1">
      <c r="A311" s="136"/>
      <c r="B311" s="136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AD311" s="11"/>
      <c r="AE311" s="12"/>
      <c r="AF311" s="13"/>
      <c r="AG311" s="13"/>
      <c r="AS311" s="14"/>
      <c r="AT311" s="13"/>
      <c r="AU311" s="13"/>
      <c r="AV311" s="13"/>
      <c r="AW311" s="13"/>
      <c r="AX311" s="15"/>
      <c r="AY311" s="16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</row>
    <row r="312" spans="1:64" ht="15" customHeight="1">
      <c r="A312" s="136"/>
      <c r="B312" s="136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AD312" s="11"/>
      <c r="AE312" s="12"/>
      <c r="AF312" s="13"/>
      <c r="AG312" s="13"/>
      <c r="AS312" s="14"/>
      <c r="AT312" s="13"/>
      <c r="AU312" s="13"/>
      <c r="AV312" s="13"/>
      <c r="AW312" s="13"/>
      <c r="AX312" s="15"/>
      <c r="AY312" s="16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</row>
    <row r="313" spans="1:64" ht="15" customHeight="1">
      <c r="A313" s="136"/>
      <c r="B313" s="136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AD313" s="11"/>
      <c r="AE313" s="12"/>
      <c r="AF313" s="13"/>
      <c r="AG313" s="13"/>
      <c r="AS313" s="14"/>
      <c r="AT313" s="13"/>
      <c r="AU313" s="13"/>
      <c r="AV313" s="13"/>
      <c r="AW313" s="13"/>
      <c r="AX313" s="15"/>
      <c r="AY313" s="16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</row>
    <row r="314" spans="1:64" ht="15" customHeight="1">
      <c r="A314" s="136"/>
      <c r="B314" s="136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AD314" s="11"/>
      <c r="AE314" s="12"/>
      <c r="AF314" s="13"/>
      <c r="AG314" s="13"/>
      <c r="AS314" s="14"/>
      <c r="AT314" s="13"/>
      <c r="AU314" s="13"/>
      <c r="AV314" s="13"/>
      <c r="AW314" s="13"/>
      <c r="AX314" s="15"/>
      <c r="AY314" s="16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</row>
    <row r="315" spans="1:64" ht="15" customHeight="1">
      <c r="A315" s="136"/>
      <c r="B315" s="136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AD315" s="11"/>
      <c r="AE315" s="12"/>
      <c r="AF315" s="13"/>
      <c r="AG315" s="13"/>
      <c r="AS315" s="14"/>
      <c r="AT315" s="13"/>
      <c r="AU315" s="13"/>
      <c r="AV315" s="13"/>
      <c r="AW315" s="13"/>
      <c r="AX315" s="15"/>
      <c r="AY315" s="16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</row>
    <row r="316" spans="1:64" ht="15" customHeight="1">
      <c r="A316" s="136"/>
      <c r="B316" s="136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AD316" s="11"/>
      <c r="AE316" s="12"/>
      <c r="AF316" s="13"/>
      <c r="AG316" s="13"/>
      <c r="AS316" s="14"/>
      <c r="AT316" s="13"/>
      <c r="AU316" s="13"/>
      <c r="AV316" s="13"/>
      <c r="AW316" s="13"/>
      <c r="AX316" s="15"/>
      <c r="AY316" s="16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</row>
    <row r="317" spans="1:64" ht="15" customHeight="1">
      <c r="A317" s="136"/>
      <c r="B317" s="136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AD317" s="243" t="s">
        <v>280</v>
      </c>
      <c r="AE317" s="253" t="s">
        <v>281</v>
      </c>
      <c r="AF317" s="254"/>
      <c r="AG317" s="13"/>
      <c r="AS317" s="14"/>
      <c r="AT317" s="13"/>
      <c r="AU317" s="13"/>
      <c r="AV317" s="13"/>
      <c r="AW317" s="13"/>
      <c r="AX317" s="15"/>
      <c r="AY317" s="16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</row>
    <row r="318" spans="1:64" ht="15" customHeight="1">
      <c r="A318" s="136"/>
      <c r="B318" s="255" t="s">
        <v>282</v>
      </c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AD318" s="11"/>
      <c r="AE318" s="12"/>
      <c r="AF318" s="13"/>
      <c r="AG318" s="13"/>
      <c r="AS318" s="14" t="s">
        <v>11</v>
      </c>
      <c r="AT318" s="13"/>
      <c r="AU318" s="13"/>
      <c r="AV318" s="13"/>
      <c r="AW318" s="13"/>
      <c r="AX318" s="15"/>
      <c r="AY318" s="16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</row>
    <row r="319" spans="1:64" ht="15.75" customHeight="1">
      <c r="A319" s="136"/>
      <c r="B319" s="256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AD319" s="958" t="s">
        <v>19</v>
      </c>
      <c r="AE319" s="959"/>
      <c r="AF319" s="960"/>
      <c r="AG319" s="1365" t="s">
        <v>20</v>
      </c>
      <c r="AH319" s="1366"/>
      <c r="AI319" s="18" t="s">
        <v>21</v>
      </c>
      <c r="AJ319" s="18" t="s">
        <v>283</v>
      </c>
      <c r="AK319" s="928" t="s">
        <v>22</v>
      </c>
      <c r="AL319" s="18" t="s">
        <v>23</v>
      </c>
      <c r="AM319" s="1337" t="s">
        <v>24</v>
      </c>
      <c r="AN319" s="18" t="s">
        <v>23</v>
      </c>
      <c r="AO319" s="1337" t="s">
        <v>24</v>
      </c>
      <c r="AP319" s="11"/>
      <c r="AQ319" s="968" t="s">
        <v>25</v>
      </c>
      <c r="AR319" s="19"/>
      <c r="AS319" s="968" t="s">
        <v>26</v>
      </c>
      <c r="AT319" s="968"/>
      <c r="AU319" s="968" t="s">
        <v>27</v>
      </c>
      <c r="AV319" s="968"/>
      <c r="AW319" s="13"/>
      <c r="AX319" s="20"/>
      <c r="AY319" s="20"/>
      <c r="AZ319" s="20"/>
      <c r="BA319" s="20"/>
      <c r="BB319" s="20"/>
      <c r="BC319" s="21"/>
      <c r="BD319" s="21"/>
      <c r="BE319" s="21"/>
      <c r="BF319" s="21"/>
      <c r="BG319" s="21"/>
      <c r="BH319" s="20"/>
      <c r="BI319" s="20"/>
      <c r="BJ319" s="20"/>
      <c r="BK319" s="20"/>
      <c r="BL319" s="20"/>
    </row>
    <row r="320" spans="1:64" ht="27" customHeight="1" thickBot="1">
      <c r="A320" s="136"/>
      <c r="B320" s="1654" t="s">
        <v>284</v>
      </c>
      <c r="C320" s="1517"/>
      <c r="D320" s="1655" t="s">
        <v>285</v>
      </c>
      <c r="E320" s="1656"/>
      <c r="F320" s="1656"/>
      <c r="G320" s="1657"/>
      <c r="H320" s="1084" t="s">
        <v>232</v>
      </c>
      <c r="I320" s="1084"/>
      <c r="J320" s="1084"/>
      <c r="K320" s="1084" t="s">
        <v>233</v>
      </c>
      <c r="L320" s="1084"/>
      <c r="M320" s="1084"/>
      <c r="N320" s="1084" t="s">
        <v>286</v>
      </c>
      <c r="O320" s="1084"/>
      <c r="P320" s="1084"/>
      <c r="Q320" s="1084" t="s">
        <v>287</v>
      </c>
      <c r="R320" s="1084"/>
      <c r="S320" s="1084"/>
      <c r="T320" s="1311" t="s">
        <v>288</v>
      </c>
      <c r="U320" s="1312"/>
      <c r="V320" s="1313"/>
      <c r="W320" s="1311" t="s">
        <v>289</v>
      </c>
      <c r="X320" s="1312"/>
      <c r="Y320" s="1312"/>
      <c r="AD320" s="1645"/>
      <c r="AE320" s="1646"/>
      <c r="AF320" s="1647"/>
      <c r="AG320" s="1648"/>
      <c r="AH320" s="1649"/>
      <c r="AI320" s="22" t="s">
        <v>30</v>
      </c>
      <c r="AJ320" s="22" t="s">
        <v>30</v>
      </c>
      <c r="AK320" s="1650"/>
      <c r="AL320" s="22" t="s">
        <v>31</v>
      </c>
      <c r="AM320" s="1651"/>
      <c r="AN320" s="22" t="s">
        <v>32</v>
      </c>
      <c r="AO320" s="1651"/>
      <c r="AP320" s="11"/>
      <c r="AQ320" s="968"/>
      <c r="AR320" s="19"/>
      <c r="AS320" s="968"/>
      <c r="AT320" s="968"/>
      <c r="AU320" s="968"/>
      <c r="AV320" s="968"/>
      <c r="AW320" s="13"/>
      <c r="AX320" s="20"/>
      <c r="AY320" s="20"/>
      <c r="AZ320" s="20"/>
      <c r="BA320" s="20"/>
      <c r="BB320" s="20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</row>
    <row r="321" spans="1:64" ht="27" customHeight="1" thickTop="1">
      <c r="A321" s="136"/>
      <c r="B321" s="1237">
        <f>$G$5</f>
        <v>8.4</v>
      </c>
      <c r="C321" s="1238"/>
      <c r="D321" s="1251">
        <f>$K$5</f>
        <v>8.8000000000000007</v>
      </c>
      <c r="E321" s="1252"/>
      <c r="F321" s="1252"/>
      <c r="G321" s="1253"/>
      <c r="H321" s="1332">
        <f>+$O$5</f>
        <v>7.4</v>
      </c>
      <c r="I321" s="1332"/>
      <c r="J321" s="1332"/>
      <c r="K321" s="1332">
        <f>+S5</f>
        <v>150</v>
      </c>
      <c r="L321" s="1332"/>
      <c r="M321" s="1332"/>
      <c r="N321" s="1419"/>
      <c r="O321" s="1332"/>
      <c r="P321" s="1332"/>
      <c r="Q321" s="1332">
        <f>ROUND(+H321*AK155,1)</f>
        <v>122.2</v>
      </c>
      <c r="R321" s="1332"/>
      <c r="S321" s="1332"/>
      <c r="T321" s="1333">
        <f>+IF(Q321/(K321-Q321)&gt;1,0.5,1-0.5*(Q321/(K321-Q321)))</f>
        <v>0.5</v>
      </c>
      <c r="U321" s="1333"/>
      <c r="V321" s="1333"/>
      <c r="W321" s="1308">
        <f>+U370</f>
        <v>1.3397940008672038</v>
      </c>
      <c r="X321" s="1309"/>
      <c r="Y321" s="1309"/>
      <c r="AD321" s="23">
        <v>0</v>
      </c>
      <c r="AE321" s="24" t="s">
        <v>35</v>
      </c>
      <c r="AF321" s="25">
        <v>0</v>
      </c>
      <c r="AG321" s="865">
        <f t="shared" ref="AG321:AG325" si="15">AF321-AD321</f>
        <v>0</v>
      </c>
      <c r="AH321" s="866"/>
      <c r="AI321" s="26">
        <f>+BC6</f>
        <v>18000</v>
      </c>
      <c r="AJ321" s="257"/>
      <c r="AK321" s="27">
        <f t="shared" ref="AK321:AK342" si="16">IF(AG321="","",(IF(AQ321&lt;0.5*$G$5,((AQ321/$G$5+0.125)/1.25),((AQ321/$G$5)-2)/(-3))))</f>
        <v>0.1</v>
      </c>
      <c r="AL321" s="1693">
        <f t="shared" ref="AL321:AL323" si="17">IF(AK321&lt;0,0,+AK321*AG321/AI321)</f>
        <v>0</v>
      </c>
      <c r="AM321" s="1694"/>
      <c r="AN321" s="1639"/>
      <c r="AO321" s="1640"/>
      <c r="AP321" s="11"/>
      <c r="AQ321" s="28">
        <f>SUM(AG321)/2</f>
        <v>0</v>
      </c>
      <c r="AR321" s="29"/>
      <c r="AS321" s="871">
        <v>1</v>
      </c>
      <c r="AT321" s="871"/>
      <c r="AU321" s="1606">
        <f>+BN6</f>
        <v>9</v>
      </c>
      <c r="AV321" s="1607"/>
      <c r="AW321" s="13"/>
      <c r="AX321" s="30" t="s">
        <v>36</v>
      </c>
      <c r="AY321" s="31" t="s">
        <v>37</v>
      </c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3"/>
    </row>
    <row r="322" spans="1:64" ht="15" customHeight="1" thickBot="1">
      <c r="A322" s="136"/>
      <c r="B322" s="159"/>
      <c r="C322" s="159"/>
      <c r="D322" s="159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258"/>
      <c r="R322" s="258"/>
      <c r="S322" s="258"/>
      <c r="T322" s="258"/>
      <c r="U322" s="258"/>
      <c r="V322" s="258"/>
      <c r="W322" s="258"/>
      <c r="X322" s="252"/>
      <c r="Y322" s="252"/>
      <c r="AD322" s="34">
        <f>+AF321</f>
        <v>0</v>
      </c>
      <c r="AE322" s="24" t="s">
        <v>35</v>
      </c>
      <c r="AF322" s="35">
        <v>0</v>
      </c>
      <c r="AG322" s="865">
        <f t="shared" si="15"/>
        <v>0</v>
      </c>
      <c r="AH322" s="866"/>
      <c r="AI322" s="26">
        <f t="shared" ref="AI322:AI342" si="18">+BC7</f>
        <v>20400</v>
      </c>
      <c r="AJ322" s="257"/>
      <c r="AK322" s="36">
        <f t="shared" si="16"/>
        <v>0.1</v>
      </c>
      <c r="AL322" s="1677">
        <f t="shared" si="17"/>
        <v>0</v>
      </c>
      <c r="AM322" s="1678"/>
      <c r="AN322" s="1380"/>
      <c r="AO322" s="1433"/>
      <c r="AP322" s="11"/>
      <c r="AQ322" s="28">
        <f>SUM(AG321)+(AG322/2)</f>
        <v>0</v>
      </c>
      <c r="AR322" s="29"/>
      <c r="AS322" s="871">
        <v>2</v>
      </c>
      <c r="AT322" s="871"/>
      <c r="AU322" s="1606">
        <f t="shared" ref="AU322:AU347" si="19">+BN7</f>
        <v>11</v>
      </c>
      <c r="AV322" s="1607"/>
      <c r="AW322" s="13"/>
      <c r="AX322" s="1059" t="s">
        <v>40</v>
      </c>
      <c r="AY322" s="1060"/>
      <c r="AZ322" s="1060"/>
      <c r="BA322" s="1060"/>
      <c r="BB322" s="1061"/>
      <c r="BC322" s="1690" t="s">
        <v>41</v>
      </c>
      <c r="BD322" s="1691"/>
      <c r="BE322" s="1691"/>
      <c r="BF322" s="1691"/>
      <c r="BG322" s="1692"/>
      <c r="BH322" s="1059" t="s">
        <v>42</v>
      </c>
      <c r="BI322" s="1060"/>
      <c r="BJ322" s="1060"/>
      <c r="BK322" s="1060"/>
      <c r="BL322" s="1061"/>
    </row>
    <row r="323" spans="1:64" ht="15" customHeight="1" thickTop="1">
      <c r="A323" s="136"/>
      <c r="B323" s="1652" t="s">
        <v>290</v>
      </c>
      <c r="C323" s="1351"/>
      <c r="D323" s="1351"/>
      <c r="E323" s="1349" t="s">
        <v>49</v>
      </c>
      <c r="F323" s="1349"/>
      <c r="G323" s="1351" t="s">
        <v>291</v>
      </c>
      <c r="H323" s="1351"/>
      <c r="I323" s="1351"/>
      <c r="J323" s="1349" t="s">
        <v>55</v>
      </c>
      <c r="K323" s="1349"/>
      <c r="L323" s="1349"/>
      <c r="M323" s="1349" t="s">
        <v>292</v>
      </c>
      <c r="N323" s="1349"/>
      <c r="O323" s="1353" t="s">
        <v>293</v>
      </c>
      <c r="P323" s="1353"/>
      <c r="Q323" s="1354"/>
      <c r="S323" s="259"/>
      <c r="T323" s="259"/>
      <c r="U323" s="259"/>
      <c r="V323" s="259"/>
      <c r="X323" s="259"/>
      <c r="Y323" s="259"/>
      <c r="Z323" s="259"/>
      <c r="AD323" s="34">
        <f t="shared" ref="AD323:AD324" si="20">+AF322</f>
        <v>0</v>
      </c>
      <c r="AE323" s="24" t="s">
        <v>35</v>
      </c>
      <c r="AF323" s="35">
        <v>0</v>
      </c>
      <c r="AG323" s="865">
        <f t="shared" si="15"/>
        <v>0</v>
      </c>
      <c r="AH323" s="866"/>
      <c r="AI323" s="26">
        <f t="shared" si="18"/>
        <v>32400</v>
      </c>
      <c r="AJ323" s="257"/>
      <c r="AK323" s="36">
        <f t="shared" si="16"/>
        <v>0.1</v>
      </c>
      <c r="AL323" s="1677">
        <f t="shared" si="17"/>
        <v>0</v>
      </c>
      <c r="AM323" s="1678"/>
      <c r="AN323" s="1380"/>
      <c r="AO323" s="1433"/>
      <c r="AP323" s="11"/>
      <c r="AQ323" s="28">
        <f>SUM(AG$321:AH322)+(AG323/2)</f>
        <v>0</v>
      </c>
      <c r="AR323" s="29"/>
      <c r="AS323" s="871">
        <v>3</v>
      </c>
      <c r="AT323" s="871"/>
      <c r="AU323" s="1606">
        <f t="shared" si="19"/>
        <v>21</v>
      </c>
      <c r="AV323" s="1607"/>
      <c r="AW323" s="13"/>
      <c r="AX323" s="1149" t="s">
        <v>46</v>
      </c>
      <c r="AY323" s="1150"/>
      <c r="AZ323" s="1150"/>
      <c r="BA323" s="1150"/>
      <c r="BB323" s="1151"/>
      <c r="BC323" s="1682" t="s">
        <v>47</v>
      </c>
      <c r="BD323" s="1683"/>
      <c r="BE323" s="1683"/>
      <c r="BF323" s="1683"/>
      <c r="BG323" s="1684"/>
      <c r="BH323" s="1122"/>
      <c r="BI323" s="1123"/>
      <c r="BJ323" s="1123"/>
      <c r="BK323" s="1123"/>
      <c r="BL323" s="1124"/>
    </row>
    <row r="324" spans="1:64" ht="15" customHeight="1">
      <c r="A324" s="136"/>
      <c r="B324" s="1653"/>
      <c r="C324" s="1352"/>
      <c r="D324" s="1352"/>
      <c r="E324" s="1350"/>
      <c r="F324" s="1350"/>
      <c r="G324" s="1352"/>
      <c r="H324" s="1352"/>
      <c r="I324" s="1352"/>
      <c r="J324" s="1350"/>
      <c r="K324" s="1350"/>
      <c r="L324" s="1350"/>
      <c r="M324" s="1350"/>
      <c r="N324" s="1350"/>
      <c r="O324" s="1355"/>
      <c r="P324" s="1355"/>
      <c r="Q324" s="1356"/>
      <c r="S324" s="259"/>
      <c r="T324" s="259"/>
      <c r="U324" s="259"/>
      <c r="V324" s="259"/>
      <c r="X324" s="259"/>
      <c r="Y324" s="259"/>
      <c r="Z324" s="259"/>
      <c r="AD324" s="34">
        <f t="shared" si="20"/>
        <v>0</v>
      </c>
      <c r="AE324" s="24" t="s">
        <v>35</v>
      </c>
      <c r="AF324" s="35">
        <v>0</v>
      </c>
      <c r="AG324" s="865">
        <f t="shared" si="15"/>
        <v>0</v>
      </c>
      <c r="AH324" s="866"/>
      <c r="AI324" s="26">
        <f t="shared" si="18"/>
        <v>21600</v>
      </c>
      <c r="AJ324" s="257"/>
      <c r="AK324" s="36">
        <f t="shared" si="16"/>
        <v>0.1</v>
      </c>
      <c r="AL324" s="1677">
        <f>IF(AK324&lt;0,0,+AK324*AG324/AI324)</f>
        <v>0</v>
      </c>
      <c r="AM324" s="1678"/>
      <c r="AN324" s="1679"/>
      <c r="AO324" s="1680"/>
      <c r="AP324" s="11"/>
      <c r="AQ324" s="28">
        <f>SUM(AG$321:AH323)+(AG324/2)</f>
        <v>0</v>
      </c>
      <c r="AR324" s="29"/>
      <c r="AS324" s="871">
        <v>4</v>
      </c>
      <c r="AT324" s="871"/>
      <c r="AU324" s="1606">
        <f t="shared" si="19"/>
        <v>12</v>
      </c>
      <c r="AV324" s="1607"/>
      <c r="AW324" s="13"/>
      <c r="AX324" s="1152"/>
      <c r="AY324" s="1153"/>
      <c r="AZ324" s="1153"/>
      <c r="BA324" s="1153"/>
      <c r="BB324" s="1154"/>
      <c r="BC324" s="1688" t="s">
        <v>59</v>
      </c>
      <c r="BD324" s="1203"/>
      <c r="BE324" s="1203"/>
      <c r="BF324" s="1203"/>
      <c r="BG324" s="1689"/>
      <c r="BH324" s="1062" t="s">
        <v>60</v>
      </c>
      <c r="BI324" s="1063"/>
      <c r="BJ324" s="1063"/>
      <c r="BK324" s="1063"/>
      <c r="BL324" s="1064"/>
    </row>
    <row r="325" spans="1:64" ht="15" customHeight="1">
      <c r="A325" s="136"/>
      <c r="B325" s="1641" t="s">
        <v>294</v>
      </c>
      <c r="C325" s="1359"/>
      <c r="D325" s="1359"/>
      <c r="E325" s="1357" t="s">
        <v>20</v>
      </c>
      <c r="F325" s="1357"/>
      <c r="G325" s="1358" t="s">
        <v>295</v>
      </c>
      <c r="H325" s="1358"/>
      <c r="I325" s="1358"/>
      <c r="J325" s="1359" t="s">
        <v>296</v>
      </c>
      <c r="K325" s="1359"/>
      <c r="L325" s="1359"/>
      <c r="M325" s="1359" t="s">
        <v>297</v>
      </c>
      <c r="N325" s="1359"/>
      <c r="O325" s="1359" t="s">
        <v>298</v>
      </c>
      <c r="P325" s="1359"/>
      <c r="Q325" s="1360"/>
      <c r="S325" s="260"/>
      <c r="T325" s="260"/>
      <c r="U325" s="260"/>
      <c r="V325" s="260"/>
      <c r="X325" s="12"/>
      <c r="Y325" s="12"/>
      <c r="Z325" s="12"/>
      <c r="AD325" s="34">
        <f>+AF324</f>
        <v>0</v>
      </c>
      <c r="AE325" s="24" t="s">
        <v>35</v>
      </c>
      <c r="AF325" s="35">
        <v>0</v>
      </c>
      <c r="AG325" s="865">
        <f t="shared" si="15"/>
        <v>0</v>
      </c>
      <c r="AH325" s="866"/>
      <c r="AI325" s="26">
        <f t="shared" si="18"/>
        <v>25200</v>
      </c>
      <c r="AJ325" s="257"/>
      <c r="AK325" s="36">
        <f t="shared" si="16"/>
        <v>0.1</v>
      </c>
      <c r="AL325" s="1677">
        <f t="shared" ref="AL325:AL340" si="21">IF(AK325&lt;0,0,+AK325*AG325/AI325)</f>
        <v>0</v>
      </c>
      <c r="AM325" s="1678"/>
      <c r="AN325" s="1679"/>
      <c r="AO325" s="1680"/>
      <c r="AP325" s="11"/>
      <c r="AQ325" s="28">
        <f>SUM(AG$321:AH324)+(AG325/2)</f>
        <v>0</v>
      </c>
      <c r="AR325" s="29"/>
      <c r="AS325" s="871">
        <v>5</v>
      </c>
      <c r="AT325" s="871"/>
      <c r="AU325" s="1606">
        <f t="shared" si="19"/>
        <v>15</v>
      </c>
      <c r="AV325" s="1607"/>
      <c r="AW325" s="13"/>
      <c r="AX325" s="1152"/>
      <c r="AY325" s="1153"/>
      <c r="AZ325" s="1153"/>
      <c r="BA325" s="1153"/>
      <c r="BB325" s="1154"/>
      <c r="BC325" s="1062" t="s">
        <v>62</v>
      </c>
      <c r="BD325" s="1063"/>
      <c r="BE325" s="1063"/>
      <c r="BF325" s="1063"/>
      <c r="BG325" s="1064"/>
      <c r="BH325" s="1062" t="s">
        <v>63</v>
      </c>
      <c r="BI325" s="1063"/>
      <c r="BJ325" s="1063"/>
      <c r="BK325" s="1063"/>
      <c r="BL325" s="1064"/>
    </row>
    <row r="326" spans="1:64" ht="15" customHeight="1">
      <c r="A326" s="136"/>
      <c r="B326" s="1641"/>
      <c r="C326" s="1359"/>
      <c r="D326" s="1359"/>
      <c r="E326" s="1357"/>
      <c r="F326" s="1357"/>
      <c r="G326" s="1358"/>
      <c r="H326" s="1358"/>
      <c r="I326" s="1358"/>
      <c r="J326" s="1359"/>
      <c r="K326" s="1359"/>
      <c r="L326" s="1359"/>
      <c r="M326" s="1359"/>
      <c r="N326" s="1359"/>
      <c r="O326" s="1359"/>
      <c r="P326" s="1359"/>
      <c r="Q326" s="1360"/>
      <c r="S326" s="260"/>
      <c r="T326" s="260"/>
      <c r="U326" s="260"/>
      <c r="V326" s="260"/>
      <c r="X326" s="12"/>
      <c r="Y326" s="12"/>
      <c r="Z326" s="12"/>
      <c r="AD326" s="34">
        <v>0</v>
      </c>
      <c r="AE326" s="24" t="s">
        <v>35</v>
      </c>
      <c r="AF326" s="35">
        <v>0</v>
      </c>
      <c r="AG326" s="865">
        <f>AF326-AD326</f>
        <v>0</v>
      </c>
      <c r="AH326" s="866"/>
      <c r="AI326" s="26">
        <f t="shared" si="18"/>
        <v>15600</v>
      </c>
      <c r="AJ326" s="257"/>
      <c r="AK326" s="36">
        <f t="shared" si="16"/>
        <v>0.1</v>
      </c>
      <c r="AL326" s="1677">
        <f t="shared" si="21"/>
        <v>0</v>
      </c>
      <c r="AM326" s="1678"/>
      <c r="AN326" s="1679"/>
      <c r="AO326" s="1680"/>
      <c r="AP326" s="11"/>
      <c r="AQ326" s="28">
        <f>SUM(AG$321:AH325)+(AG326/2)</f>
        <v>0</v>
      </c>
      <c r="AR326" s="29"/>
      <c r="AS326" s="871">
        <v>6</v>
      </c>
      <c r="AT326" s="871"/>
      <c r="AU326" s="1606">
        <f t="shared" si="19"/>
        <v>7</v>
      </c>
      <c r="AV326" s="1607"/>
      <c r="AW326" s="40"/>
      <c r="AX326" s="1155"/>
      <c r="AY326" s="1156"/>
      <c r="AZ326" s="1156"/>
      <c r="BA326" s="1156"/>
      <c r="BB326" s="1157"/>
      <c r="BC326" s="1199" t="s">
        <v>64</v>
      </c>
      <c r="BD326" s="1200"/>
      <c r="BE326" s="1200"/>
      <c r="BF326" s="1200"/>
      <c r="BG326" s="1201"/>
      <c r="BH326" s="1119"/>
      <c r="BI326" s="1120"/>
      <c r="BJ326" s="1120"/>
      <c r="BK326" s="1120"/>
      <c r="BL326" s="1121"/>
    </row>
    <row r="327" spans="1:64" ht="15" customHeight="1">
      <c r="A327" s="136"/>
      <c r="B327" s="261">
        <v>0</v>
      </c>
      <c r="C327" s="262" t="s">
        <v>35</v>
      </c>
      <c r="D327" s="263">
        <v>0</v>
      </c>
      <c r="E327" s="909">
        <f>+D327-B327</f>
        <v>0</v>
      </c>
      <c r="F327" s="909"/>
      <c r="G327" s="910">
        <f>+AQ321</f>
        <v>0</v>
      </c>
      <c r="H327" s="910"/>
      <c r="I327" s="910"/>
      <c r="J327" s="912">
        <f>+AI321</f>
        <v>18000</v>
      </c>
      <c r="K327" s="912"/>
      <c r="L327" s="912"/>
      <c r="M327" s="906">
        <f>+AK321</f>
        <v>0.1</v>
      </c>
      <c r="N327" s="906"/>
      <c r="O327" s="907">
        <f>IF(M327&lt;0,0,ROUND(M327*E327/J327,7))</f>
        <v>0</v>
      </c>
      <c r="P327" s="907"/>
      <c r="Q327" s="908"/>
      <c r="S327" s="264"/>
      <c r="T327" s="264"/>
      <c r="U327" s="264"/>
      <c r="V327" s="264"/>
      <c r="X327" s="264"/>
      <c r="Y327" s="264"/>
      <c r="Z327" s="264"/>
      <c r="AD327" s="41">
        <f>AF326</f>
        <v>0</v>
      </c>
      <c r="AE327" s="24" t="s">
        <v>35</v>
      </c>
      <c r="AF327" s="35">
        <v>0</v>
      </c>
      <c r="AG327" s="865">
        <f>AF327-AD327</f>
        <v>0</v>
      </c>
      <c r="AH327" s="866"/>
      <c r="AI327" s="26">
        <f t="shared" si="18"/>
        <v>21600</v>
      </c>
      <c r="AJ327" s="257"/>
      <c r="AK327" s="36">
        <f t="shared" si="16"/>
        <v>0.1</v>
      </c>
      <c r="AL327" s="1677">
        <f t="shared" si="21"/>
        <v>0</v>
      </c>
      <c r="AM327" s="1678"/>
      <c r="AN327" s="1679"/>
      <c r="AO327" s="1680"/>
      <c r="AP327" s="11"/>
      <c r="AQ327" s="28">
        <f>SUM(AG$321:AH326)+(AG327/2)</f>
        <v>0</v>
      </c>
      <c r="AR327" s="29"/>
      <c r="AS327" s="871">
        <v>7</v>
      </c>
      <c r="AT327" s="871"/>
      <c r="AU327" s="1606">
        <f t="shared" si="19"/>
        <v>12</v>
      </c>
      <c r="AV327" s="1607"/>
      <c r="AW327" s="40"/>
      <c r="AX327" s="1059" t="s">
        <v>65</v>
      </c>
      <c r="AY327" s="1060"/>
      <c r="AZ327" s="1060"/>
      <c r="BA327" s="1060"/>
      <c r="BB327" s="1061"/>
      <c r="BC327" s="1085" t="s">
        <v>66</v>
      </c>
      <c r="BD327" s="1086"/>
      <c r="BE327" s="1086"/>
      <c r="BF327" s="1086"/>
      <c r="BG327" s="1087"/>
      <c r="BH327" s="1085" t="s">
        <v>67</v>
      </c>
      <c r="BI327" s="1086"/>
      <c r="BJ327" s="1086"/>
      <c r="BK327" s="1086"/>
      <c r="BL327" s="1087"/>
    </row>
    <row r="328" spans="1:64" ht="15" customHeight="1">
      <c r="A328" s="136"/>
      <c r="B328" s="261">
        <f>+D327</f>
        <v>0</v>
      </c>
      <c r="C328" s="262" t="s">
        <v>35</v>
      </c>
      <c r="D328" s="263">
        <v>0</v>
      </c>
      <c r="E328" s="909">
        <f t="shared" ref="E328:E345" si="22">+D328-B328</f>
        <v>0</v>
      </c>
      <c r="F328" s="909"/>
      <c r="G328" s="910">
        <f t="shared" ref="G328:G345" si="23">+AQ322</f>
        <v>0</v>
      </c>
      <c r="H328" s="910"/>
      <c r="I328" s="910"/>
      <c r="J328" s="912">
        <f t="shared" ref="J328:J345" si="24">+AI322</f>
        <v>20400</v>
      </c>
      <c r="K328" s="912"/>
      <c r="L328" s="912"/>
      <c r="M328" s="906">
        <f t="shared" ref="M328:M345" si="25">+AK322</f>
        <v>0.1</v>
      </c>
      <c r="N328" s="906"/>
      <c r="O328" s="907">
        <f>IF(M328&lt;0,0,ROUND(M328*E328/J328,7))</f>
        <v>0</v>
      </c>
      <c r="P328" s="907"/>
      <c r="Q328" s="908"/>
      <c r="S328" s="264"/>
      <c r="T328" s="264"/>
      <c r="U328" s="264"/>
      <c r="V328" s="264"/>
      <c r="X328" s="264"/>
      <c r="Y328" s="264"/>
      <c r="Z328" s="264"/>
      <c r="AD328" s="41">
        <v>7.4</v>
      </c>
      <c r="AE328" s="24" t="s">
        <v>35</v>
      </c>
      <c r="AF328" s="35">
        <v>8</v>
      </c>
      <c r="AG328" s="865">
        <f>AF328-AD328</f>
        <v>0.59999999999999964</v>
      </c>
      <c r="AH328" s="866"/>
      <c r="AI328" s="26">
        <f t="shared" si="18"/>
        <v>30000</v>
      </c>
      <c r="AJ328" s="257"/>
      <c r="AK328" s="36">
        <f t="shared" si="16"/>
        <v>0.12857142857142856</v>
      </c>
      <c r="AL328" s="1677">
        <f t="shared" si="21"/>
        <v>2.5714285714285699E-6</v>
      </c>
      <c r="AM328" s="1678"/>
      <c r="AN328" s="1679"/>
      <c r="AO328" s="1680"/>
      <c r="AP328" s="11"/>
      <c r="AQ328" s="28">
        <f>SUM(AG$321:AH327)+(AG328/2)</f>
        <v>0.29999999999999982</v>
      </c>
      <c r="AR328" s="29"/>
      <c r="AS328" s="871">
        <v>8</v>
      </c>
      <c r="AT328" s="871"/>
      <c r="AU328" s="1606">
        <f t="shared" si="19"/>
        <v>19</v>
      </c>
      <c r="AV328" s="1607"/>
      <c r="AW328" s="40"/>
      <c r="AX328" s="1059" t="s">
        <v>68</v>
      </c>
      <c r="AY328" s="1060"/>
      <c r="AZ328" s="1060"/>
      <c r="BA328" s="1060"/>
      <c r="BB328" s="1061"/>
      <c r="BC328" s="1085" t="s">
        <v>69</v>
      </c>
      <c r="BD328" s="1086"/>
      <c r="BE328" s="1086"/>
      <c r="BF328" s="1086"/>
      <c r="BG328" s="1087"/>
      <c r="BH328" s="1085" t="s">
        <v>70</v>
      </c>
      <c r="BI328" s="1086"/>
      <c r="BJ328" s="1086"/>
      <c r="BK328" s="1086"/>
      <c r="BL328" s="1087"/>
    </row>
    <row r="329" spans="1:64" ht="15" customHeight="1">
      <c r="A329" s="136"/>
      <c r="B329" s="261">
        <f t="shared" ref="B329:B348" si="26">+D328</f>
        <v>0</v>
      </c>
      <c r="C329" s="262" t="s">
        <v>35</v>
      </c>
      <c r="D329" s="263">
        <v>0</v>
      </c>
      <c r="E329" s="909">
        <f t="shared" si="22"/>
        <v>0</v>
      </c>
      <c r="F329" s="909"/>
      <c r="G329" s="910">
        <f t="shared" si="23"/>
        <v>0</v>
      </c>
      <c r="H329" s="910"/>
      <c r="I329" s="910"/>
      <c r="J329" s="912">
        <f t="shared" si="24"/>
        <v>32400</v>
      </c>
      <c r="K329" s="912"/>
      <c r="L329" s="912"/>
      <c r="M329" s="906">
        <f t="shared" si="25"/>
        <v>0.1</v>
      </c>
      <c r="N329" s="906"/>
      <c r="O329" s="907">
        <f t="shared" ref="O329:O345" si="27">IF(M329&lt;0,0,ROUND(M329*E329/J329,7))</f>
        <v>0</v>
      </c>
      <c r="P329" s="907"/>
      <c r="Q329" s="908"/>
      <c r="S329" s="264"/>
      <c r="T329" s="264"/>
      <c r="U329" s="264"/>
      <c r="V329" s="264"/>
      <c r="X329" s="264"/>
      <c r="Y329" s="264"/>
      <c r="Z329" s="264"/>
      <c r="AD329" s="41">
        <f>AF328</f>
        <v>8</v>
      </c>
      <c r="AE329" s="24" t="s">
        <v>35</v>
      </c>
      <c r="AF329" s="35">
        <v>9</v>
      </c>
      <c r="AG329" s="865">
        <f>AF329-AD329</f>
        <v>1</v>
      </c>
      <c r="AH329" s="866"/>
      <c r="AI329" s="26">
        <f t="shared" si="18"/>
        <v>9900</v>
      </c>
      <c r="AJ329" s="257"/>
      <c r="AK329" s="36">
        <f t="shared" si="16"/>
        <v>0.20476190476190476</v>
      </c>
      <c r="AL329" s="1677">
        <f t="shared" si="21"/>
        <v>2.0683020683020683E-5</v>
      </c>
      <c r="AM329" s="1678"/>
      <c r="AN329" s="1679"/>
      <c r="AO329" s="1680"/>
      <c r="AP329" s="11"/>
      <c r="AQ329" s="28">
        <f>SUM(AG$321:AH328)+(AG329/2)</f>
        <v>1.0999999999999996</v>
      </c>
      <c r="AR329" s="29"/>
      <c r="AS329" s="871">
        <v>9</v>
      </c>
      <c r="AT329" s="871"/>
      <c r="AU329" s="1606">
        <f t="shared" si="19"/>
        <v>27</v>
      </c>
      <c r="AV329" s="1607"/>
      <c r="AW329" s="40"/>
      <c r="AX329" s="1059" t="s">
        <v>72</v>
      </c>
      <c r="AY329" s="1060"/>
      <c r="AZ329" s="1060"/>
      <c r="BA329" s="1060"/>
      <c r="BB329" s="1061"/>
      <c r="BC329" s="1685" t="s">
        <v>73</v>
      </c>
      <c r="BD329" s="1686"/>
      <c r="BE329" s="1686"/>
      <c r="BF329" s="1686"/>
      <c r="BG329" s="1687"/>
      <c r="BH329" s="1085"/>
      <c r="BI329" s="1086"/>
      <c r="BJ329" s="1086"/>
      <c r="BK329" s="1086"/>
      <c r="BL329" s="1087"/>
    </row>
    <row r="330" spans="1:64" ht="15" customHeight="1">
      <c r="A330" s="136"/>
      <c r="B330" s="261">
        <f t="shared" si="26"/>
        <v>0</v>
      </c>
      <c r="C330" s="262" t="s">
        <v>35</v>
      </c>
      <c r="D330" s="263">
        <v>0</v>
      </c>
      <c r="E330" s="909">
        <f t="shared" si="22"/>
        <v>0</v>
      </c>
      <c r="F330" s="909"/>
      <c r="G330" s="910">
        <f t="shared" si="23"/>
        <v>0</v>
      </c>
      <c r="H330" s="910"/>
      <c r="I330" s="910"/>
      <c r="J330" s="912">
        <f t="shared" si="24"/>
        <v>21600</v>
      </c>
      <c r="K330" s="912"/>
      <c r="L330" s="912"/>
      <c r="M330" s="906">
        <f t="shared" si="25"/>
        <v>0.1</v>
      </c>
      <c r="N330" s="906"/>
      <c r="O330" s="907">
        <f t="shared" si="27"/>
        <v>0</v>
      </c>
      <c r="P330" s="907"/>
      <c r="Q330" s="908"/>
      <c r="S330" s="264"/>
      <c r="T330" s="264"/>
      <c r="U330" s="264"/>
      <c r="V330" s="264"/>
      <c r="X330" s="264"/>
      <c r="Y330" s="264"/>
      <c r="Z330" s="264"/>
      <c r="AD330" s="41">
        <f>AF329</f>
        <v>9</v>
      </c>
      <c r="AE330" s="24" t="s">
        <v>35</v>
      </c>
      <c r="AF330" s="35">
        <v>10</v>
      </c>
      <c r="AG330" s="865">
        <f>AF330-AD330</f>
        <v>1</v>
      </c>
      <c r="AH330" s="866"/>
      <c r="AI330" s="26">
        <f t="shared" si="18"/>
        <v>25000</v>
      </c>
      <c r="AJ330" s="257"/>
      <c r="AK330" s="36">
        <f t="shared" si="16"/>
        <v>0.29999999999999993</v>
      </c>
      <c r="AL330" s="1677">
        <f t="shared" si="21"/>
        <v>1.1999999999999997E-5</v>
      </c>
      <c r="AM330" s="1678"/>
      <c r="AN330" s="1679"/>
      <c r="AO330" s="1680"/>
      <c r="AP330" s="11"/>
      <c r="AQ330" s="28">
        <f>SUM(AG$321:AH329)+(AG330/2)</f>
        <v>2.0999999999999996</v>
      </c>
      <c r="AR330" s="29"/>
      <c r="AS330" s="871">
        <v>10</v>
      </c>
      <c r="AT330" s="871"/>
      <c r="AU330" s="1606">
        <f t="shared" si="19"/>
        <v>35</v>
      </c>
      <c r="AV330" s="1607"/>
      <c r="AW330" s="40"/>
      <c r="AX330" s="1059" t="s">
        <v>75</v>
      </c>
      <c r="AY330" s="1060"/>
      <c r="AZ330" s="1060"/>
      <c r="BA330" s="1060"/>
      <c r="BB330" s="1061"/>
      <c r="BC330" s="1074"/>
      <c r="BD330" s="1075"/>
      <c r="BE330" s="1075"/>
      <c r="BF330" s="1075"/>
      <c r="BG330" s="1076"/>
      <c r="BH330" s="1085" t="s">
        <v>76</v>
      </c>
      <c r="BI330" s="1086"/>
      <c r="BJ330" s="1086"/>
      <c r="BK330" s="1086"/>
      <c r="BL330" s="1087"/>
    </row>
    <row r="331" spans="1:64" ht="15" customHeight="1">
      <c r="A331" s="136"/>
      <c r="B331" s="261">
        <f t="shared" si="26"/>
        <v>0</v>
      </c>
      <c r="C331" s="262" t="s">
        <v>35</v>
      </c>
      <c r="D331" s="263">
        <v>0</v>
      </c>
      <c r="E331" s="909">
        <f t="shared" si="22"/>
        <v>0</v>
      </c>
      <c r="F331" s="909"/>
      <c r="G331" s="910">
        <f t="shared" si="23"/>
        <v>0</v>
      </c>
      <c r="H331" s="910"/>
      <c r="I331" s="910"/>
      <c r="J331" s="912">
        <f t="shared" si="24"/>
        <v>25200</v>
      </c>
      <c r="K331" s="912"/>
      <c r="L331" s="912"/>
      <c r="M331" s="906">
        <f t="shared" si="25"/>
        <v>0.1</v>
      </c>
      <c r="N331" s="906"/>
      <c r="O331" s="907">
        <f t="shared" si="27"/>
        <v>0</v>
      </c>
      <c r="P331" s="907"/>
      <c r="Q331" s="908"/>
      <c r="S331" s="264"/>
      <c r="T331" s="264"/>
      <c r="U331" s="264"/>
      <c r="V331" s="264"/>
      <c r="X331" s="264"/>
      <c r="Y331" s="264"/>
      <c r="Z331" s="264"/>
      <c r="AD331" s="41">
        <f t="shared" ref="AD331:AD346" si="28">AF330</f>
        <v>10</v>
      </c>
      <c r="AE331" s="24" t="s">
        <v>35</v>
      </c>
      <c r="AF331" s="35">
        <v>11</v>
      </c>
      <c r="AG331" s="865">
        <f t="shared" ref="AG331:AG340" si="29">AF331-AD331</f>
        <v>1</v>
      </c>
      <c r="AH331" s="866"/>
      <c r="AI331" s="26">
        <f t="shared" si="18"/>
        <v>27000</v>
      </c>
      <c r="AJ331" s="257"/>
      <c r="AK331" s="36">
        <f t="shared" si="16"/>
        <v>0.39523809523809522</v>
      </c>
      <c r="AL331" s="1677">
        <f t="shared" si="21"/>
        <v>1.4638447971781304E-5</v>
      </c>
      <c r="AM331" s="1678"/>
      <c r="AN331" s="1679"/>
      <c r="AO331" s="1680"/>
      <c r="AP331" s="11"/>
      <c r="AQ331" s="28">
        <f>SUM(AG$321:AH330)+(AG331/2)</f>
        <v>3.0999999999999996</v>
      </c>
      <c r="AR331" s="44"/>
      <c r="AS331" s="871">
        <v>11</v>
      </c>
      <c r="AT331" s="871"/>
      <c r="AU331" s="1606">
        <f t="shared" si="19"/>
        <v>39</v>
      </c>
      <c r="AV331" s="1607"/>
      <c r="AW331" s="45"/>
      <c r="AX331" s="1149" t="s">
        <v>78</v>
      </c>
      <c r="AY331" s="1150"/>
      <c r="AZ331" s="1150"/>
      <c r="BA331" s="1150"/>
      <c r="BB331" s="1151"/>
      <c r="BC331" s="1122" t="s">
        <v>79</v>
      </c>
      <c r="BD331" s="1123"/>
      <c r="BE331" s="1123"/>
      <c r="BF331" s="1123"/>
      <c r="BG331" s="1124"/>
      <c r="BH331" s="1682" t="s">
        <v>80</v>
      </c>
      <c r="BI331" s="1683"/>
      <c r="BJ331" s="1683"/>
      <c r="BK331" s="1683"/>
      <c r="BL331" s="1684"/>
    </row>
    <row r="332" spans="1:64" ht="15" customHeight="1">
      <c r="A332" s="136"/>
      <c r="B332" s="261">
        <f t="shared" si="26"/>
        <v>0</v>
      </c>
      <c r="C332" s="262" t="s">
        <v>35</v>
      </c>
      <c r="D332" s="263">
        <v>0</v>
      </c>
      <c r="E332" s="909">
        <f t="shared" si="22"/>
        <v>0</v>
      </c>
      <c r="F332" s="909"/>
      <c r="G332" s="910">
        <f t="shared" si="23"/>
        <v>0</v>
      </c>
      <c r="H332" s="910"/>
      <c r="I332" s="910"/>
      <c r="J332" s="912">
        <f t="shared" si="24"/>
        <v>15600</v>
      </c>
      <c r="K332" s="912"/>
      <c r="L332" s="912"/>
      <c r="M332" s="906">
        <f t="shared" si="25"/>
        <v>0.1</v>
      </c>
      <c r="N332" s="906"/>
      <c r="O332" s="907">
        <f t="shared" si="27"/>
        <v>0</v>
      </c>
      <c r="P332" s="907"/>
      <c r="Q332" s="908"/>
      <c r="S332" s="264"/>
      <c r="T332" s="264"/>
      <c r="U332" s="264"/>
      <c r="V332" s="264"/>
      <c r="X332" s="264"/>
      <c r="Y332" s="264"/>
      <c r="Z332" s="264"/>
      <c r="AD332" s="41">
        <f t="shared" si="28"/>
        <v>11</v>
      </c>
      <c r="AE332" s="24" t="s">
        <v>35</v>
      </c>
      <c r="AF332" s="35">
        <v>12</v>
      </c>
      <c r="AG332" s="865">
        <f t="shared" si="29"/>
        <v>1</v>
      </c>
      <c r="AH332" s="866"/>
      <c r="AI332" s="26">
        <f t="shared" si="18"/>
        <v>30500</v>
      </c>
      <c r="AJ332" s="257"/>
      <c r="AK332" s="36">
        <f t="shared" si="16"/>
        <v>0.4904761904761904</v>
      </c>
      <c r="AL332" s="1677">
        <f t="shared" si="21"/>
        <v>1.608118657298985E-5</v>
      </c>
      <c r="AM332" s="1678"/>
      <c r="AN332" s="1679"/>
      <c r="AO332" s="1680"/>
      <c r="AP332" s="11"/>
      <c r="AQ332" s="28">
        <f>SUM(AG$321:AH331)+(AG332/2)</f>
        <v>4.0999999999999996</v>
      </c>
      <c r="AR332" s="52"/>
      <c r="AS332" s="871">
        <v>12</v>
      </c>
      <c r="AT332" s="871"/>
      <c r="AU332" s="1606">
        <f t="shared" si="19"/>
        <v>46</v>
      </c>
      <c r="AV332" s="1607"/>
      <c r="AW332" s="40"/>
      <c r="AX332" s="1155"/>
      <c r="AY332" s="1156"/>
      <c r="AZ332" s="1156"/>
      <c r="BA332" s="1156"/>
      <c r="BB332" s="1157"/>
      <c r="BC332" s="1192" t="s">
        <v>82</v>
      </c>
      <c r="BD332" s="1191"/>
      <c r="BE332" s="1191"/>
      <c r="BF332" s="1191"/>
      <c r="BG332" s="1193"/>
      <c r="BH332" s="1192" t="s">
        <v>83</v>
      </c>
      <c r="BI332" s="1191"/>
      <c r="BJ332" s="1191"/>
      <c r="BK332" s="1191"/>
      <c r="BL332" s="1193"/>
    </row>
    <row r="333" spans="1:64" ht="15" customHeight="1">
      <c r="A333" s="136"/>
      <c r="B333" s="261">
        <f t="shared" si="26"/>
        <v>0</v>
      </c>
      <c r="C333" s="262" t="s">
        <v>35</v>
      </c>
      <c r="D333" s="263">
        <v>0</v>
      </c>
      <c r="E333" s="909">
        <f t="shared" si="22"/>
        <v>0</v>
      </c>
      <c r="F333" s="909"/>
      <c r="G333" s="910">
        <f t="shared" si="23"/>
        <v>0</v>
      </c>
      <c r="H333" s="910"/>
      <c r="I333" s="910"/>
      <c r="J333" s="912">
        <f t="shared" si="24"/>
        <v>21600</v>
      </c>
      <c r="K333" s="912"/>
      <c r="L333" s="912"/>
      <c r="M333" s="906">
        <f t="shared" si="25"/>
        <v>0.1</v>
      </c>
      <c r="N333" s="906"/>
      <c r="O333" s="907">
        <f t="shared" si="27"/>
        <v>0</v>
      </c>
      <c r="P333" s="907"/>
      <c r="Q333" s="908"/>
      <c r="S333" s="264"/>
      <c r="T333" s="264"/>
      <c r="U333" s="264"/>
      <c r="V333" s="264"/>
      <c r="X333" s="264"/>
      <c r="Y333" s="264"/>
      <c r="Z333" s="264"/>
      <c r="AD333" s="41">
        <f t="shared" si="28"/>
        <v>12</v>
      </c>
      <c r="AE333" s="24" t="s">
        <v>35</v>
      </c>
      <c r="AF333" s="35">
        <v>13</v>
      </c>
      <c r="AG333" s="865">
        <f t="shared" si="29"/>
        <v>1</v>
      </c>
      <c r="AH333" s="866"/>
      <c r="AI333" s="26">
        <f t="shared" si="18"/>
        <v>31000</v>
      </c>
      <c r="AJ333" s="257"/>
      <c r="AK333" s="36">
        <f t="shared" si="16"/>
        <v>0.46428571428571425</v>
      </c>
      <c r="AL333" s="1677">
        <f t="shared" si="21"/>
        <v>1.497695852534562E-5</v>
      </c>
      <c r="AM333" s="1678"/>
      <c r="AN333" s="1679"/>
      <c r="AO333" s="1680"/>
      <c r="AQ333" s="28">
        <f>SUM(AG$321:AH332)+(AG333/2)</f>
        <v>5.0999999999999996</v>
      </c>
      <c r="AR333" s="57"/>
      <c r="AS333" s="871">
        <v>13</v>
      </c>
      <c r="AT333" s="871"/>
      <c r="AU333" s="1606">
        <f t="shared" si="19"/>
        <v>47</v>
      </c>
      <c r="AV333" s="1607"/>
      <c r="AX333" s="1059" t="s">
        <v>85</v>
      </c>
      <c r="AY333" s="1060"/>
      <c r="AZ333" s="1060"/>
      <c r="BA333" s="1060"/>
      <c r="BB333" s="1061"/>
      <c r="BC333" s="1199" t="s">
        <v>86</v>
      </c>
      <c r="BD333" s="1200"/>
      <c r="BE333" s="1200"/>
      <c r="BF333" s="1200"/>
      <c r="BG333" s="1201"/>
      <c r="BH333" s="1119" t="s">
        <v>87</v>
      </c>
      <c r="BI333" s="1120"/>
      <c r="BJ333" s="1120"/>
      <c r="BK333" s="1120"/>
      <c r="BL333" s="1121"/>
    </row>
    <row r="334" spans="1:64" ht="15" customHeight="1">
      <c r="A334" s="136"/>
      <c r="B334" s="261">
        <v>7.4</v>
      </c>
      <c r="C334" s="262" t="s">
        <v>35</v>
      </c>
      <c r="D334" s="263">
        <f t="shared" ref="D334:D345" si="30">+AF328</f>
        <v>8</v>
      </c>
      <c r="E334" s="909">
        <f t="shared" si="22"/>
        <v>0.59999999999999964</v>
      </c>
      <c r="F334" s="909"/>
      <c r="G334" s="910">
        <f t="shared" si="23"/>
        <v>0.29999999999999982</v>
      </c>
      <c r="H334" s="910"/>
      <c r="I334" s="910"/>
      <c r="J334" s="912">
        <f t="shared" si="24"/>
        <v>30000</v>
      </c>
      <c r="K334" s="912"/>
      <c r="L334" s="912"/>
      <c r="M334" s="906">
        <f t="shared" si="25"/>
        <v>0.12857142857142856</v>
      </c>
      <c r="N334" s="906"/>
      <c r="O334" s="907">
        <f t="shared" si="27"/>
        <v>2.6000000000000001E-6</v>
      </c>
      <c r="P334" s="907"/>
      <c r="Q334" s="908"/>
      <c r="S334" s="264"/>
      <c r="T334" s="264"/>
      <c r="U334" s="264"/>
      <c r="V334" s="264"/>
      <c r="X334" s="264"/>
      <c r="Y334" s="264"/>
      <c r="Z334" s="264"/>
      <c r="AD334" s="41">
        <f t="shared" si="28"/>
        <v>13</v>
      </c>
      <c r="AE334" s="24" t="s">
        <v>35</v>
      </c>
      <c r="AF334" s="35">
        <v>14</v>
      </c>
      <c r="AG334" s="865">
        <f t="shared" si="29"/>
        <v>1</v>
      </c>
      <c r="AH334" s="866"/>
      <c r="AI334" s="26">
        <f t="shared" si="18"/>
        <v>33000</v>
      </c>
      <c r="AJ334" s="257"/>
      <c r="AK334" s="36">
        <f t="shared" si="16"/>
        <v>0.42460317460317459</v>
      </c>
      <c r="AL334" s="1677">
        <f t="shared" si="21"/>
        <v>1.2866762866762867E-5</v>
      </c>
      <c r="AM334" s="1678"/>
      <c r="AN334" s="1679"/>
      <c r="AO334" s="1680"/>
      <c r="AQ334" s="28">
        <f>SUM(AG$321:AH333)+(AG334/2)</f>
        <v>6.1</v>
      </c>
      <c r="AR334" s="57"/>
      <c r="AS334" s="871">
        <v>14</v>
      </c>
      <c r="AT334" s="871"/>
      <c r="AU334" s="1606">
        <f t="shared" si="19"/>
        <v>51</v>
      </c>
      <c r="AV334" s="1607"/>
      <c r="AX334" s="1059"/>
      <c r="AY334" s="1060"/>
      <c r="AZ334" s="1060"/>
      <c r="BA334" s="1060"/>
      <c r="BB334" s="1061"/>
      <c r="BC334" s="1074" t="s">
        <v>92</v>
      </c>
      <c r="BD334" s="1075"/>
      <c r="BE334" s="1075"/>
      <c r="BF334" s="1075"/>
      <c r="BG334" s="1076"/>
      <c r="BH334" s="1074" t="s">
        <v>93</v>
      </c>
      <c r="BI334" s="1075"/>
      <c r="BJ334" s="1075"/>
      <c r="BK334" s="1075"/>
      <c r="BL334" s="1076"/>
    </row>
    <row r="335" spans="1:64" ht="15" customHeight="1">
      <c r="A335" s="136"/>
      <c r="B335" s="261">
        <f t="shared" si="26"/>
        <v>8</v>
      </c>
      <c r="C335" s="262" t="s">
        <v>35</v>
      </c>
      <c r="D335" s="263">
        <f t="shared" si="30"/>
        <v>9</v>
      </c>
      <c r="E335" s="909">
        <f t="shared" si="22"/>
        <v>1</v>
      </c>
      <c r="F335" s="909"/>
      <c r="G335" s="910">
        <f t="shared" si="23"/>
        <v>1.0999999999999996</v>
      </c>
      <c r="H335" s="910"/>
      <c r="I335" s="910"/>
      <c r="J335" s="912">
        <f t="shared" si="24"/>
        <v>9900</v>
      </c>
      <c r="K335" s="912"/>
      <c r="L335" s="912"/>
      <c r="M335" s="906">
        <f t="shared" si="25"/>
        <v>0.20476190476190476</v>
      </c>
      <c r="N335" s="906"/>
      <c r="O335" s="907">
        <f t="shared" si="27"/>
        <v>2.0699999999999998E-5</v>
      </c>
      <c r="P335" s="907"/>
      <c r="Q335" s="908"/>
      <c r="S335" s="264"/>
      <c r="T335" s="264"/>
      <c r="U335" s="264"/>
      <c r="V335" s="264"/>
      <c r="X335" s="264"/>
      <c r="Y335" s="264"/>
      <c r="Z335" s="264"/>
      <c r="AD335" s="41">
        <f t="shared" si="28"/>
        <v>14</v>
      </c>
      <c r="AE335" s="24" t="s">
        <v>35</v>
      </c>
      <c r="AF335" s="35">
        <v>15</v>
      </c>
      <c r="AG335" s="865">
        <f t="shared" si="29"/>
        <v>1</v>
      </c>
      <c r="AH335" s="866"/>
      <c r="AI335" s="26">
        <f t="shared" si="18"/>
        <v>36000</v>
      </c>
      <c r="AJ335" s="265"/>
      <c r="AK335" s="36">
        <f t="shared" si="16"/>
        <v>0.38492063492063494</v>
      </c>
      <c r="AL335" s="1677">
        <f t="shared" si="21"/>
        <v>1.0692239858906525E-5</v>
      </c>
      <c r="AM335" s="1678"/>
      <c r="AN335" s="1679"/>
      <c r="AO335" s="1680"/>
      <c r="AQ335" s="28">
        <f>SUM(AG$321:AH334)+(AG335/2)</f>
        <v>7.1</v>
      </c>
      <c r="AR335" s="57"/>
      <c r="AS335" s="871">
        <v>15</v>
      </c>
      <c r="AT335" s="871"/>
      <c r="AU335" s="1606">
        <f t="shared" si="19"/>
        <v>57</v>
      </c>
      <c r="AV335" s="1607"/>
      <c r="AX335" s="1150"/>
      <c r="AY335" s="1150"/>
      <c r="AZ335" s="1150"/>
      <c r="BA335" s="1150"/>
      <c r="BB335" s="1150"/>
      <c r="BC335" s="1681"/>
      <c r="BD335" s="1681"/>
      <c r="BE335" s="1681"/>
      <c r="BF335" s="1681"/>
      <c r="BG335" s="1681"/>
      <c r="BH335" s="1150"/>
      <c r="BI335" s="1150"/>
      <c r="BJ335" s="1150"/>
      <c r="BK335" s="1150"/>
      <c r="BL335" s="1150"/>
    </row>
    <row r="336" spans="1:64" ht="15" customHeight="1">
      <c r="A336" s="136"/>
      <c r="B336" s="261">
        <f t="shared" si="26"/>
        <v>9</v>
      </c>
      <c r="C336" s="262" t="s">
        <v>35</v>
      </c>
      <c r="D336" s="263">
        <f t="shared" si="30"/>
        <v>10</v>
      </c>
      <c r="E336" s="909">
        <f t="shared" si="22"/>
        <v>1</v>
      </c>
      <c r="F336" s="909"/>
      <c r="G336" s="910">
        <f t="shared" si="23"/>
        <v>2.0999999999999996</v>
      </c>
      <c r="H336" s="910"/>
      <c r="I336" s="910"/>
      <c r="J336" s="912">
        <f t="shared" si="24"/>
        <v>25000</v>
      </c>
      <c r="K336" s="912"/>
      <c r="L336" s="912"/>
      <c r="M336" s="906">
        <f t="shared" si="25"/>
        <v>0.29999999999999993</v>
      </c>
      <c r="N336" s="906"/>
      <c r="O336" s="907">
        <f t="shared" si="27"/>
        <v>1.2E-5</v>
      </c>
      <c r="P336" s="907"/>
      <c r="Q336" s="908"/>
      <c r="S336" s="264"/>
      <c r="T336" s="264"/>
      <c r="U336" s="264"/>
      <c r="V336" s="264"/>
      <c r="X336" s="264"/>
      <c r="Y336" s="264"/>
      <c r="Z336" s="264"/>
      <c r="AD336" s="41">
        <f t="shared" si="28"/>
        <v>15</v>
      </c>
      <c r="AE336" s="24" t="s">
        <v>35</v>
      </c>
      <c r="AF336" s="35">
        <v>16</v>
      </c>
      <c r="AG336" s="865">
        <f t="shared" si="29"/>
        <v>1</v>
      </c>
      <c r="AH336" s="866"/>
      <c r="AI336" s="26">
        <f t="shared" si="18"/>
        <v>49000</v>
      </c>
      <c r="AJ336" s="265"/>
      <c r="AK336" s="36">
        <f t="shared" si="16"/>
        <v>0.34523809523809529</v>
      </c>
      <c r="AL336" s="1677">
        <f t="shared" si="21"/>
        <v>7.045675413022353E-6</v>
      </c>
      <c r="AM336" s="1678"/>
      <c r="AN336" s="1679"/>
      <c r="AO336" s="1680"/>
      <c r="AQ336" s="28">
        <f>SUM(AG$321:AH335)+(AG336/2)</f>
        <v>8.1</v>
      </c>
      <c r="AR336" s="57"/>
      <c r="AS336" s="871">
        <v>16</v>
      </c>
      <c r="AT336" s="871"/>
      <c r="AU336" s="1606">
        <f t="shared" si="19"/>
        <v>83</v>
      </c>
      <c r="AV336" s="1607"/>
      <c r="AX336" s="1153"/>
      <c r="AY336" s="1153"/>
      <c r="AZ336" s="1153"/>
      <c r="BA336" s="1153"/>
      <c r="BB336" s="1153"/>
      <c r="BC336" s="1063"/>
      <c r="BD336" s="1063"/>
      <c r="BE336" s="1063"/>
      <c r="BF336" s="1063"/>
      <c r="BG336" s="1063"/>
      <c r="BH336" s="1191"/>
      <c r="BI336" s="1191"/>
      <c r="BJ336" s="1191"/>
      <c r="BK336" s="1191"/>
      <c r="BL336" s="1191"/>
    </row>
    <row r="337" spans="1:64" ht="15" customHeight="1">
      <c r="A337" s="136"/>
      <c r="B337" s="261">
        <f t="shared" si="26"/>
        <v>10</v>
      </c>
      <c r="C337" s="262" t="s">
        <v>35</v>
      </c>
      <c r="D337" s="263">
        <f t="shared" si="30"/>
        <v>11</v>
      </c>
      <c r="E337" s="909">
        <f t="shared" si="22"/>
        <v>1</v>
      </c>
      <c r="F337" s="909"/>
      <c r="G337" s="910">
        <f t="shared" si="23"/>
        <v>3.0999999999999996</v>
      </c>
      <c r="H337" s="910"/>
      <c r="I337" s="910"/>
      <c r="J337" s="912">
        <f t="shared" si="24"/>
        <v>27000</v>
      </c>
      <c r="K337" s="912"/>
      <c r="L337" s="912"/>
      <c r="M337" s="906">
        <f t="shared" si="25"/>
        <v>0.39523809523809522</v>
      </c>
      <c r="N337" s="906"/>
      <c r="O337" s="907">
        <f t="shared" si="27"/>
        <v>1.4600000000000001E-5</v>
      </c>
      <c r="P337" s="907"/>
      <c r="Q337" s="908"/>
      <c r="S337" s="264"/>
      <c r="T337" s="264"/>
      <c r="U337" s="264"/>
      <c r="V337" s="264"/>
      <c r="X337" s="264"/>
      <c r="Y337" s="264"/>
      <c r="Z337" s="264"/>
      <c r="AD337" s="41">
        <f t="shared" si="28"/>
        <v>16</v>
      </c>
      <c r="AE337" s="24" t="s">
        <v>35</v>
      </c>
      <c r="AF337" s="35">
        <v>17</v>
      </c>
      <c r="AG337" s="865">
        <f t="shared" si="29"/>
        <v>1</v>
      </c>
      <c r="AH337" s="866"/>
      <c r="AI337" s="26">
        <f t="shared" si="18"/>
        <v>54000</v>
      </c>
      <c r="AJ337" s="265"/>
      <c r="AK337" s="36">
        <f t="shared" si="16"/>
        <v>0.30555555555555558</v>
      </c>
      <c r="AL337" s="1677">
        <f t="shared" si="21"/>
        <v>5.6584362139917704E-6</v>
      </c>
      <c r="AM337" s="1678"/>
      <c r="AN337" s="1679"/>
      <c r="AO337" s="1680"/>
      <c r="AQ337" s="28">
        <f>SUM(AG$321:AH336)+(AG337/2)</f>
        <v>9.1</v>
      </c>
      <c r="AR337" s="57"/>
      <c r="AS337" s="871">
        <v>17</v>
      </c>
      <c r="AT337" s="871"/>
      <c r="AU337" s="1606">
        <f t="shared" si="19"/>
        <v>93</v>
      </c>
      <c r="AV337" s="1607"/>
      <c r="AX337" s="1153"/>
      <c r="AY337" s="1153"/>
      <c r="AZ337" s="1153"/>
      <c r="BA337" s="1153"/>
      <c r="BB337" s="1153"/>
      <c r="BC337" s="1203"/>
      <c r="BD337" s="1203"/>
      <c r="BE337" s="1203"/>
      <c r="BF337" s="1203"/>
      <c r="BG337" s="1203"/>
      <c r="BH337" s="1063"/>
      <c r="BI337" s="1063"/>
      <c r="BJ337" s="1063"/>
      <c r="BK337" s="1063"/>
      <c r="BL337" s="1063"/>
    </row>
    <row r="338" spans="1:64" ht="15" customHeight="1">
      <c r="A338" s="136"/>
      <c r="B338" s="261">
        <f t="shared" si="26"/>
        <v>11</v>
      </c>
      <c r="C338" s="262" t="s">
        <v>35</v>
      </c>
      <c r="D338" s="263">
        <f t="shared" si="30"/>
        <v>12</v>
      </c>
      <c r="E338" s="909">
        <f t="shared" si="22"/>
        <v>1</v>
      </c>
      <c r="F338" s="909"/>
      <c r="G338" s="910">
        <f t="shared" si="23"/>
        <v>4.0999999999999996</v>
      </c>
      <c r="H338" s="910"/>
      <c r="I338" s="910"/>
      <c r="J338" s="912">
        <f t="shared" si="24"/>
        <v>30500</v>
      </c>
      <c r="K338" s="912"/>
      <c r="L338" s="912"/>
      <c r="M338" s="906">
        <f t="shared" si="25"/>
        <v>0.4904761904761904</v>
      </c>
      <c r="N338" s="906"/>
      <c r="O338" s="907">
        <f t="shared" si="27"/>
        <v>1.6099999999999998E-5</v>
      </c>
      <c r="P338" s="907"/>
      <c r="Q338" s="908"/>
      <c r="S338" s="264"/>
      <c r="T338" s="264"/>
      <c r="U338" s="264"/>
      <c r="V338" s="264"/>
      <c r="X338" s="264"/>
      <c r="Y338" s="264"/>
      <c r="Z338" s="264"/>
      <c r="AD338" s="41">
        <f t="shared" si="28"/>
        <v>17</v>
      </c>
      <c r="AE338" s="24" t="s">
        <v>35</v>
      </c>
      <c r="AF338" s="35">
        <v>18</v>
      </c>
      <c r="AG338" s="865">
        <f t="shared" si="29"/>
        <v>1</v>
      </c>
      <c r="AH338" s="866"/>
      <c r="AI338" s="26">
        <f t="shared" si="18"/>
        <v>70000</v>
      </c>
      <c r="AJ338" s="265"/>
      <c r="AK338" s="36">
        <f t="shared" si="16"/>
        <v>0.26587301587301587</v>
      </c>
      <c r="AL338" s="1677">
        <f t="shared" si="21"/>
        <v>3.798185941043084E-6</v>
      </c>
      <c r="AM338" s="1678"/>
      <c r="AN338" s="1679"/>
      <c r="AO338" s="1680"/>
      <c r="AQ338" s="28">
        <f>SUM(AG$321:AH337)+(AG338/2)</f>
        <v>10.1</v>
      </c>
      <c r="AR338" s="57"/>
      <c r="AS338" s="871">
        <v>18</v>
      </c>
      <c r="AT338" s="871"/>
      <c r="AU338" s="1606">
        <f t="shared" si="19"/>
        <v>125</v>
      </c>
      <c r="AV338" s="1607"/>
      <c r="AX338" s="1153"/>
      <c r="AY338" s="1153"/>
      <c r="AZ338" s="1153"/>
      <c r="BA338" s="1153"/>
      <c r="BB338" s="1153"/>
      <c r="BC338" s="1063"/>
      <c r="BD338" s="1063"/>
      <c r="BE338" s="1063"/>
      <c r="BF338" s="1063"/>
      <c r="BG338" s="1063"/>
      <c r="BH338" s="1063"/>
      <c r="BI338" s="1063"/>
      <c r="BJ338" s="1063"/>
      <c r="BK338" s="1063"/>
      <c r="BL338" s="1063"/>
    </row>
    <row r="339" spans="1:64" ht="15" customHeight="1">
      <c r="A339" s="136"/>
      <c r="B339" s="261">
        <f t="shared" si="26"/>
        <v>12</v>
      </c>
      <c r="C339" s="262" t="s">
        <v>35</v>
      </c>
      <c r="D339" s="263">
        <f t="shared" si="30"/>
        <v>13</v>
      </c>
      <c r="E339" s="909">
        <f t="shared" si="22"/>
        <v>1</v>
      </c>
      <c r="F339" s="909"/>
      <c r="G339" s="910">
        <f t="shared" si="23"/>
        <v>5.0999999999999996</v>
      </c>
      <c r="H339" s="910"/>
      <c r="I339" s="910"/>
      <c r="J339" s="912">
        <f t="shared" si="24"/>
        <v>31000</v>
      </c>
      <c r="K339" s="912"/>
      <c r="L339" s="912"/>
      <c r="M339" s="906">
        <f t="shared" si="25"/>
        <v>0.46428571428571425</v>
      </c>
      <c r="N339" s="906"/>
      <c r="O339" s="907">
        <f t="shared" si="27"/>
        <v>1.5E-5</v>
      </c>
      <c r="P339" s="907"/>
      <c r="Q339" s="908"/>
      <c r="S339" s="264"/>
      <c r="T339" s="264"/>
      <c r="U339" s="264"/>
      <c r="V339" s="264"/>
      <c r="X339" s="264"/>
      <c r="Y339" s="264"/>
      <c r="Z339" s="264"/>
      <c r="AD339" s="41">
        <f t="shared" si="28"/>
        <v>18</v>
      </c>
      <c r="AE339" s="24" t="s">
        <v>35</v>
      </c>
      <c r="AF339" s="35">
        <v>19</v>
      </c>
      <c r="AG339" s="865">
        <f t="shared" si="29"/>
        <v>1</v>
      </c>
      <c r="AH339" s="866"/>
      <c r="AI339" s="26">
        <f t="shared" si="18"/>
        <v>70000</v>
      </c>
      <c r="AJ339" s="265"/>
      <c r="AK339" s="36">
        <f t="shared" si="16"/>
        <v>0.22619047619047619</v>
      </c>
      <c r="AL339" s="1677">
        <f t="shared" si="21"/>
        <v>3.2312925170068027E-6</v>
      </c>
      <c r="AM339" s="1678"/>
      <c r="AN339" s="1679"/>
      <c r="AO339" s="1680"/>
      <c r="AQ339" s="28">
        <f>SUM(AG$321:AH338)+(AG339/2)</f>
        <v>11.1</v>
      </c>
      <c r="AR339" s="57"/>
      <c r="AS339" s="871">
        <v>19</v>
      </c>
      <c r="AT339" s="871"/>
      <c r="AU339" s="1606">
        <f t="shared" si="19"/>
        <v>125</v>
      </c>
      <c r="AV339" s="1607"/>
      <c r="AX339" s="1153"/>
      <c r="AY339" s="1153"/>
      <c r="AZ339" s="1153"/>
      <c r="BA339" s="1153"/>
      <c r="BB339" s="1153"/>
      <c r="BC339" s="1191"/>
      <c r="BD339" s="1191"/>
      <c r="BE339" s="1191"/>
      <c r="BF339" s="1191"/>
      <c r="BG339" s="1191"/>
      <c r="BH339" s="1063"/>
      <c r="BI339" s="1063"/>
      <c r="BJ339" s="1063"/>
      <c r="BK339" s="1063"/>
      <c r="BL339" s="1063"/>
    </row>
    <row r="340" spans="1:64" ht="15" customHeight="1">
      <c r="A340" s="136"/>
      <c r="B340" s="261">
        <f t="shared" si="26"/>
        <v>13</v>
      </c>
      <c r="C340" s="262" t="s">
        <v>35</v>
      </c>
      <c r="D340" s="263">
        <f t="shared" si="30"/>
        <v>14</v>
      </c>
      <c r="E340" s="909">
        <f t="shared" si="22"/>
        <v>1</v>
      </c>
      <c r="F340" s="909"/>
      <c r="G340" s="910">
        <f t="shared" si="23"/>
        <v>6.1</v>
      </c>
      <c r="H340" s="910"/>
      <c r="I340" s="910"/>
      <c r="J340" s="912">
        <f t="shared" si="24"/>
        <v>33000</v>
      </c>
      <c r="K340" s="912"/>
      <c r="L340" s="912"/>
      <c r="M340" s="906">
        <f t="shared" si="25"/>
        <v>0.42460317460317459</v>
      </c>
      <c r="N340" s="906"/>
      <c r="O340" s="907">
        <f t="shared" si="27"/>
        <v>1.29E-5</v>
      </c>
      <c r="P340" s="907"/>
      <c r="Q340" s="908"/>
      <c r="S340" s="264"/>
      <c r="T340" s="264"/>
      <c r="U340" s="264"/>
      <c r="V340" s="264"/>
      <c r="X340" s="264"/>
      <c r="Y340" s="264"/>
      <c r="Z340" s="264"/>
      <c r="AD340" s="41">
        <f t="shared" si="28"/>
        <v>19</v>
      </c>
      <c r="AE340" s="24" t="s">
        <v>35</v>
      </c>
      <c r="AF340" s="35">
        <v>20</v>
      </c>
      <c r="AG340" s="865">
        <f t="shared" si="29"/>
        <v>1</v>
      </c>
      <c r="AH340" s="866"/>
      <c r="AI340" s="26">
        <f t="shared" si="18"/>
        <v>114500</v>
      </c>
      <c r="AJ340" s="265"/>
      <c r="AK340" s="36">
        <f t="shared" si="16"/>
        <v>0.18650793650793651</v>
      </c>
      <c r="AL340" s="1677">
        <f t="shared" si="21"/>
        <v>1.6288902751784848E-6</v>
      </c>
      <c r="AM340" s="1678"/>
      <c r="AN340" s="1679"/>
      <c r="AO340" s="1680"/>
      <c r="AQ340" s="28">
        <f>SUM(AG$321:AH339)+(AG340/2)</f>
        <v>12.1</v>
      </c>
      <c r="AR340" s="57"/>
      <c r="AS340" s="871">
        <v>20</v>
      </c>
      <c r="AT340" s="871"/>
      <c r="AU340" s="1606">
        <f t="shared" si="19"/>
        <v>214</v>
      </c>
      <c r="AV340" s="1607"/>
      <c r="AX340" s="1153"/>
      <c r="AY340" s="1153"/>
      <c r="AZ340" s="1153"/>
      <c r="BA340" s="1153"/>
      <c r="BB340" s="1153"/>
      <c r="BC340" s="1063"/>
      <c r="BD340" s="1063"/>
      <c r="BE340" s="1063"/>
      <c r="BF340" s="1063"/>
      <c r="BG340" s="1063"/>
      <c r="BH340" s="1063"/>
      <c r="BI340" s="1063"/>
      <c r="BJ340" s="1063"/>
      <c r="BK340" s="1063"/>
      <c r="BL340" s="1063"/>
    </row>
    <row r="341" spans="1:64" ht="15" customHeight="1">
      <c r="A341" s="136"/>
      <c r="B341" s="261">
        <f t="shared" si="26"/>
        <v>14</v>
      </c>
      <c r="C341" s="262" t="s">
        <v>35</v>
      </c>
      <c r="D341" s="263">
        <f t="shared" si="30"/>
        <v>15</v>
      </c>
      <c r="E341" s="909">
        <f t="shared" si="22"/>
        <v>1</v>
      </c>
      <c r="F341" s="909"/>
      <c r="G341" s="910">
        <f t="shared" si="23"/>
        <v>7.1</v>
      </c>
      <c r="H341" s="910"/>
      <c r="I341" s="910"/>
      <c r="J341" s="912">
        <f t="shared" si="24"/>
        <v>36000</v>
      </c>
      <c r="K341" s="912"/>
      <c r="L341" s="912"/>
      <c r="M341" s="906">
        <f t="shared" si="25"/>
        <v>0.38492063492063494</v>
      </c>
      <c r="N341" s="906"/>
      <c r="O341" s="907">
        <f t="shared" si="27"/>
        <v>1.0699999999999999E-5</v>
      </c>
      <c r="P341" s="907"/>
      <c r="Q341" s="908"/>
      <c r="S341" s="264"/>
      <c r="T341" s="264"/>
      <c r="U341" s="264"/>
      <c r="V341" s="264"/>
      <c r="X341" s="264"/>
      <c r="Y341" s="264"/>
      <c r="Z341" s="264"/>
      <c r="AD341" s="41">
        <f t="shared" si="28"/>
        <v>20</v>
      </c>
      <c r="AE341" s="24" t="s">
        <v>35</v>
      </c>
      <c r="AF341" s="35">
        <v>21</v>
      </c>
      <c r="AG341" s="865">
        <f t="shared" ref="AG341" si="31">AF341-AD341</f>
        <v>1</v>
      </c>
      <c r="AH341" s="866"/>
      <c r="AI341" s="26">
        <f t="shared" si="18"/>
        <v>264000</v>
      </c>
      <c r="AJ341" s="265"/>
      <c r="AK341" s="36">
        <f t="shared" si="16"/>
        <v>0.14682539682539689</v>
      </c>
      <c r="AL341" s="1677">
        <f t="shared" ref="AL341:AL342" si="32">IF(AK341&lt;0,0,+AK341*AG341/AI341)</f>
        <v>5.5615680615680642E-7</v>
      </c>
      <c r="AM341" s="1678"/>
      <c r="AN341" s="1679"/>
      <c r="AO341" s="1680"/>
      <c r="AQ341" s="28">
        <f>SUM($AG$321:AH340)+(AG341/2)</f>
        <v>13.1</v>
      </c>
      <c r="AR341" s="57"/>
      <c r="AS341" s="871">
        <v>21</v>
      </c>
      <c r="AT341" s="871"/>
      <c r="AU341" s="1606">
        <f t="shared" si="19"/>
        <v>214</v>
      </c>
      <c r="AV341" s="1607"/>
      <c r="AX341" s="1153"/>
      <c r="AY341" s="1153"/>
      <c r="AZ341" s="1153"/>
      <c r="BA341" s="1153"/>
      <c r="BB341" s="1153"/>
      <c r="BC341" s="1063"/>
      <c r="BD341" s="1063"/>
      <c r="BE341" s="1063"/>
      <c r="BF341" s="1063"/>
      <c r="BG341" s="1063"/>
      <c r="BH341" s="1063"/>
      <c r="BI341" s="1063"/>
      <c r="BJ341" s="1063"/>
      <c r="BK341" s="1063"/>
      <c r="BL341" s="1063"/>
    </row>
    <row r="342" spans="1:64" ht="21.75" customHeight="1">
      <c r="A342" s="136"/>
      <c r="B342" s="261">
        <f t="shared" si="26"/>
        <v>15</v>
      </c>
      <c r="C342" s="262" t="s">
        <v>35</v>
      </c>
      <c r="D342" s="263">
        <f t="shared" si="30"/>
        <v>16</v>
      </c>
      <c r="E342" s="909">
        <f t="shared" si="22"/>
        <v>1</v>
      </c>
      <c r="F342" s="909"/>
      <c r="G342" s="910">
        <f t="shared" si="23"/>
        <v>8.1</v>
      </c>
      <c r="H342" s="910"/>
      <c r="I342" s="910"/>
      <c r="J342" s="912">
        <f t="shared" si="24"/>
        <v>49000</v>
      </c>
      <c r="K342" s="912"/>
      <c r="L342" s="912"/>
      <c r="M342" s="906">
        <f t="shared" si="25"/>
        <v>0.34523809523809529</v>
      </c>
      <c r="N342" s="906"/>
      <c r="O342" s="907">
        <f t="shared" si="27"/>
        <v>6.9999999999999999E-6</v>
      </c>
      <c r="P342" s="907"/>
      <c r="Q342" s="908"/>
      <c r="S342" s="264"/>
      <c r="T342" s="264"/>
      <c r="U342" s="264"/>
      <c r="V342" s="264"/>
      <c r="X342" s="264"/>
      <c r="Y342" s="264"/>
      <c r="Z342" s="264"/>
      <c r="AD342" s="41">
        <f t="shared" si="28"/>
        <v>21</v>
      </c>
      <c r="AE342" s="24" t="s">
        <v>35</v>
      </c>
      <c r="AF342" s="35">
        <v>22</v>
      </c>
      <c r="AG342" s="865">
        <f t="shared" ref="AG342" si="33">AF342-AD342</f>
        <v>1</v>
      </c>
      <c r="AH342" s="866"/>
      <c r="AI342" s="26">
        <f t="shared" si="18"/>
        <v>264000</v>
      </c>
      <c r="AJ342" s="265"/>
      <c r="AK342" s="36">
        <f t="shared" si="16"/>
        <v>0.10714285714285721</v>
      </c>
      <c r="AL342" s="1677">
        <f t="shared" si="32"/>
        <v>4.0584415584415608E-7</v>
      </c>
      <c r="AM342" s="1678"/>
      <c r="AN342" s="1679"/>
      <c r="AO342" s="1680"/>
      <c r="AQ342" s="28">
        <f>SUM($AG$321:AH341)+(AG342/2)</f>
        <v>14.1</v>
      </c>
      <c r="AR342" s="57"/>
      <c r="AS342" s="871">
        <v>22</v>
      </c>
      <c r="AT342" s="871"/>
      <c r="AU342" s="1606">
        <f t="shared" si="19"/>
        <v>214</v>
      </c>
      <c r="AV342" s="1607"/>
      <c r="AX342" s="1153"/>
      <c r="AY342" s="1153"/>
      <c r="AZ342" s="1153"/>
      <c r="BA342" s="1153"/>
      <c r="BB342" s="1153"/>
      <c r="BC342" s="1203"/>
      <c r="BD342" s="1203"/>
      <c r="BE342" s="1203"/>
      <c r="BF342" s="1203"/>
      <c r="BG342" s="1203"/>
      <c r="BH342" s="1063"/>
      <c r="BI342" s="1063"/>
      <c r="BJ342" s="1063"/>
      <c r="BK342" s="1063"/>
      <c r="BL342" s="1063"/>
    </row>
    <row r="343" spans="1:64" ht="18.75" customHeight="1">
      <c r="A343" s="136"/>
      <c r="B343" s="261">
        <f t="shared" si="26"/>
        <v>16</v>
      </c>
      <c r="C343" s="262" t="s">
        <v>35</v>
      </c>
      <c r="D343" s="263">
        <f t="shared" si="30"/>
        <v>17</v>
      </c>
      <c r="E343" s="909">
        <f t="shared" si="22"/>
        <v>1</v>
      </c>
      <c r="F343" s="909"/>
      <c r="G343" s="910">
        <f t="shared" si="23"/>
        <v>9.1</v>
      </c>
      <c r="H343" s="910"/>
      <c r="I343" s="910"/>
      <c r="J343" s="912">
        <f t="shared" si="24"/>
        <v>54000</v>
      </c>
      <c r="K343" s="912"/>
      <c r="L343" s="912"/>
      <c r="M343" s="906">
        <f t="shared" si="25"/>
        <v>0.30555555555555558</v>
      </c>
      <c r="N343" s="906"/>
      <c r="O343" s="907">
        <f t="shared" si="27"/>
        <v>5.6999999999999996E-6</v>
      </c>
      <c r="P343" s="907"/>
      <c r="Q343" s="908"/>
      <c r="S343" s="264"/>
      <c r="T343" s="264"/>
      <c r="U343" s="264"/>
      <c r="V343" s="264"/>
      <c r="X343" s="264"/>
      <c r="Y343" s="264"/>
      <c r="Z343" s="264"/>
      <c r="AD343" s="41">
        <f t="shared" si="28"/>
        <v>22</v>
      </c>
      <c r="AE343" s="24" t="s">
        <v>35</v>
      </c>
      <c r="AF343" s="35"/>
      <c r="AG343" s="865"/>
      <c r="AH343" s="866"/>
      <c r="AI343" s="26"/>
      <c r="AJ343" s="265"/>
      <c r="AK343" s="36"/>
      <c r="AL343" s="1677"/>
      <c r="AM343" s="1678"/>
      <c r="AN343" s="1679"/>
      <c r="AO343" s="1680"/>
      <c r="AQ343" s="28">
        <f>SUM($AG$321:AH342)+(AG343/2)</f>
        <v>14.6</v>
      </c>
      <c r="AR343" s="57"/>
      <c r="AS343" s="871">
        <v>23</v>
      </c>
      <c r="AT343" s="871"/>
      <c r="AU343" s="1606">
        <f t="shared" si="19"/>
        <v>0</v>
      </c>
      <c r="AV343" s="1607"/>
      <c r="AX343" s="1153"/>
      <c r="AY343" s="1153"/>
      <c r="AZ343" s="1153"/>
      <c r="BA343" s="1153"/>
      <c r="BB343" s="1153"/>
      <c r="BC343" s="1191"/>
      <c r="BD343" s="1191"/>
      <c r="BE343" s="1191"/>
      <c r="BF343" s="1191"/>
      <c r="BG343" s="1191"/>
      <c r="BH343" s="1063"/>
      <c r="BI343" s="1063"/>
      <c r="BJ343" s="1063"/>
      <c r="BK343" s="1063"/>
      <c r="BL343" s="1063"/>
    </row>
    <row r="344" spans="1:64" ht="18.75" customHeight="1">
      <c r="A344" s="136"/>
      <c r="B344" s="261">
        <f t="shared" si="26"/>
        <v>17</v>
      </c>
      <c r="C344" s="262" t="s">
        <v>35</v>
      </c>
      <c r="D344" s="263">
        <f t="shared" si="30"/>
        <v>18</v>
      </c>
      <c r="E344" s="909">
        <f t="shared" si="22"/>
        <v>1</v>
      </c>
      <c r="F344" s="909"/>
      <c r="G344" s="910">
        <f t="shared" si="23"/>
        <v>10.1</v>
      </c>
      <c r="H344" s="910"/>
      <c r="I344" s="910"/>
      <c r="J344" s="912">
        <f t="shared" si="24"/>
        <v>70000</v>
      </c>
      <c r="K344" s="912"/>
      <c r="L344" s="912"/>
      <c r="M344" s="906">
        <f t="shared" si="25"/>
        <v>0.26587301587301587</v>
      </c>
      <c r="N344" s="906"/>
      <c r="O344" s="907">
        <f t="shared" si="27"/>
        <v>3.8E-6</v>
      </c>
      <c r="P344" s="907"/>
      <c r="Q344" s="908"/>
      <c r="S344" s="264"/>
      <c r="T344" s="264"/>
      <c r="U344" s="264"/>
      <c r="V344" s="264"/>
      <c r="X344" s="264"/>
      <c r="Y344" s="264"/>
      <c r="Z344" s="264"/>
      <c r="AD344" s="41">
        <f t="shared" si="28"/>
        <v>0</v>
      </c>
      <c r="AE344" s="24" t="s">
        <v>35</v>
      </c>
      <c r="AF344" s="35"/>
      <c r="AG344" s="865"/>
      <c r="AH344" s="866"/>
      <c r="AI344" s="26"/>
      <c r="AJ344" s="265"/>
      <c r="AK344" s="36"/>
      <c r="AL344" s="1677"/>
      <c r="AM344" s="1678"/>
      <c r="AN344" s="1679"/>
      <c r="AO344" s="1680"/>
      <c r="AQ344" s="28">
        <f>SUM($AG$321:AH343)+(AG344/2)</f>
        <v>14.6</v>
      </c>
      <c r="AR344" s="57"/>
      <c r="AS344" s="871">
        <v>24</v>
      </c>
      <c r="AT344" s="871"/>
      <c r="AU344" s="1606">
        <f t="shared" si="19"/>
        <v>0</v>
      </c>
      <c r="AV344" s="1607"/>
      <c r="AX344" s="1153"/>
      <c r="AY344" s="1153"/>
      <c r="AZ344" s="1153"/>
      <c r="BA344" s="1153"/>
      <c r="BB344" s="1153"/>
      <c r="BC344" s="1191"/>
      <c r="BD344" s="1191"/>
      <c r="BE344" s="1191"/>
      <c r="BF344" s="1191"/>
      <c r="BG344" s="1191"/>
      <c r="BH344" s="1063"/>
      <c r="BI344" s="1063"/>
      <c r="BJ344" s="1063"/>
      <c r="BK344" s="1063"/>
      <c r="BL344" s="1063"/>
    </row>
    <row r="345" spans="1:64" ht="18.75" customHeight="1">
      <c r="A345" s="136"/>
      <c r="B345" s="261">
        <f t="shared" si="26"/>
        <v>18</v>
      </c>
      <c r="C345" s="262" t="s">
        <v>35</v>
      </c>
      <c r="D345" s="263">
        <f t="shared" si="30"/>
        <v>19</v>
      </c>
      <c r="E345" s="909">
        <f t="shared" si="22"/>
        <v>1</v>
      </c>
      <c r="F345" s="909"/>
      <c r="G345" s="910">
        <f t="shared" si="23"/>
        <v>11.1</v>
      </c>
      <c r="H345" s="910"/>
      <c r="I345" s="910"/>
      <c r="J345" s="912">
        <f t="shared" si="24"/>
        <v>70000</v>
      </c>
      <c r="K345" s="912"/>
      <c r="L345" s="912"/>
      <c r="M345" s="906">
        <f t="shared" si="25"/>
        <v>0.22619047619047619</v>
      </c>
      <c r="N345" s="906"/>
      <c r="O345" s="907">
        <f t="shared" si="27"/>
        <v>3.1999999999999999E-6</v>
      </c>
      <c r="P345" s="907"/>
      <c r="Q345" s="908"/>
      <c r="S345" s="264"/>
      <c r="T345" s="264"/>
      <c r="U345" s="264"/>
      <c r="V345" s="264"/>
      <c r="X345" s="264"/>
      <c r="Y345" s="264"/>
      <c r="Z345" s="264"/>
      <c r="AD345" s="41">
        <f t="shared" si="28"/>
        <v>0</v>
      </c>
      <c r="AE345" s="24" t="s">
        <v>35</v>
      </c>
      <c r="AF345" s="35"/>
      <c r="AG345" s="865"/>
      <c r="AH345" s="866"/>
      <c r="AI345" s="26"/>
      <c r="AJ345" s="265"/>
      <c r="AK345" s="36"/>
      <c r="AL345" s="1677"/>
      <c r="AM345" s="1678"/>
      <c r="AN345" s="1679"/>
      <c r="AO345" s="1680"/>
      <c r="AQ345" s="28">
        <f>SUM($AG$321:AH344)+(AG345/2)</f>
        <v>14.6</v>
      </c>
      <c r="AR345" s="57"/>
      <c r="AS345" s="871">
        <v>25</v>
      </c>
      <c r="AT345" s="871"/>
      <c r="AU345" s="1606">
        <f t="shared" si="19"/>
        <v>0</v>
      </c>
      <c r="AV345" s="1607"/>
      <c r="AX345" s="1153"/>
      <c r="AY345" s="1153"/>
      <c r="AZ345" s="1153"/>
      <c r="BA345" s="1153"/>
      <c r="BB345" s="1153"/>
      <c r="BC345" s="1191"/>
      <c r="BD345" s="1191"/>
      <c r="BE345" s="1191"/>
      <c r="BF345" s="1191"/>
      <c r="BG345" s="1191"/>
      <c r="BH345" s="1191"/>
      <c r="BI345" s="1191"/>
      <c r="BJ345" s="1191"/>
      <c r="BK345" s="1191"/>
      <c r="BL345" s="1191"/>
    </row>
    <row r="346" spans="1:64" ht="18.75" customHeight="1">
      <c r="A346" s="136"/>
      <c r="B346" s="261">
        <f t="shared" si="26"/>
        <v>19</v>
      </c>
      <c r="C346" s="262" t="s">
        <v>35</v>
      </c>
      <c r="D346" s="263">
        <v>20</v>
      </c>
      <c r="E346" s="909">
        <f t="shared" ref="E346:E348" si="34">+D346-B346</f>
        <v>1</v>
      </c>
      <c r="F346" s="909"/>
      <c r="G346" s="910">
        <f t="shared" ref="G346:G348" si="35">+AQ340</f>
        <v>12.1</v>
      </c>
      <c r="H346" s="910"/>
      <c r="I346" s="910"/>
      <c r="J346" s="912">
        <f t="shared" ref="J346:J348" si="36">+AI340</f>
        <v>114500</v>
      </c>
      <c r="K346" s="912"/>
      <c r="L346" s="912"/>
      <c r="M346" s="906">
        <f t="shared" ref="M346:M348" si="37">+AK340</f>
        <v>0.18650793650793651</v>
      </c>
      <c r="N346" s="906"/>
      <c r="O346" s="907">
        <f t="shared" ref="O346:O348" si="38">IF(M346&lt;0,0,ROUND(M346*E346/J346,7))</f>
        <v>1.5999999999999999E-6</v>
      </c>
      <c r="P346" s="907"/>
      <c r="Q346" s="908"/>
      <c r="S346" s="264"/>
      <c r="T346" s="264"/>
      <c r="U346" s="264"/>
      <c r="V346" s="264"/>
      <c r="X346" s="264"/>
      <c r="Y346" s="264"/>
      <c r="Z346" s="264"/>
      <c r="AD346" s="41">
        <f t="shared" si="28"/>
        <v>0</v>
      </c>
      <c r="AE346" s="24" t="s">
        <v>35</v>
      </c>
      <c r="AF346" s="35"/>
      <c r="AG346" s="865"/>
      <c r="AH346" s="866"/>
      <c r="AI346" s="26"/>
      <c r="AJ346" s="265"/>
      <c r="AK346" s="36"/>
      <c r="AL346" s="1677"/>
      <c r="AM346" s="1678"/>
      <c r="AN346" s="1679"/>
      <c r="AO346" s="1680"/>
      <c r="AQ346" s="28">
        <f>SUM($AG$321:AH345)+(AG346/2)</f>
        <v>14.6</v>
      </c>
      <c r="AR346" s="57"/>
      <c r="AS346" s="871">
        <v>26</v>
      </c>
      <c r="AT346" s="871"/>
      <c r="AU346" s="1606">
        <f t="shared" si="19"/>
        <v>0</v>
      </c>
      <c r="AV346" s="1607"/>
      <c r="AX346" s="1153"/>
      <c r="AY346" s="1153"/>
      <c r="AZ346" s="1153"/>
      <c r="BA346" s="1153"/>
      <c r="BB346" s="1153"/>
      <c r="BC346" s="1191"/>
      <c r="BD346" s="1191"/>
      <c r="BE346" s="1191"/>
      <c r="BF346" s="1191"/>
      <c r="BG346" s="1191"/>
      <c r="BH346" s="1063"/>
      <c r="BI346" s="1063"/>
      <c r="BJ346" s="1063"/>
      <c r="BK346" s="1063"/>
      <c r="BL346" s="1063"/>
    </row>
    <row r="347" spans="1:64" ht="18.75" customHeight="1">
      <c r="A347" s="136"/>
      <c r="B347" s="261">
        <f t="shared" si="26"/>
        <v>20</v>
      </c>
      <c r="C347" s="262" t="s">
        <v>35</v>
      </c>
      <c r="D347" s="263">
        <v>21</v>
      </c>
      <c r="E347" s="909">
        <f t="shared" si="34"/>
        <v>1</v>
      </c>
      <c r="F347" s="909"/>
      <c r="G347" s="910">
        <f t="shared" si="35"/>
        <v>13.1</v>
      </c>
      <c r="H347" s="910"/>
      <c r="I347" s="910"/>
      <c r="J347" s="912">
        <f t="shared" si="36"/>
        <v>264000</v>
      </c>
      <c r="K347" s="912"/>
      <c r="L347" s="912"/>
      <c r="M347" s="906">
        <f t="shared" si="37"/>
        <v>0.14682539682539689</v>
      </c>
      <c r="N347" s="906"/>
      <c r="O347" s="907">
        <f t="shared" si="38"/>
        <v>5.9999999999999997E-7</v>
      </c>
      <c r="P347" s="907"/>
      <c r="Q347" s="908"/>
      <c r="S347" s="264"/>
      <c r="T347" s="264"/>
      <c r="U347" s="264"/>
      <c r="V347" s="264"/>
      <c r="X347" s="264"/>
      <c r="Y347" s="264"/>
      <c r="Z347" s="264"/>
      <c r="AD347" s="64">
        <f>+AF346</f>
        <v>0</v>
      </c>
      <c r="AE347" s="65" t="s">
        <v>96</v>
      </c>
      <c r="AF347" s="66"/>
      <c r="AG347" s="1675"/>
      <c r="AH347" s="1676"/>
      <c r="AI347" s="67"/>
      <c r="AJ347" s="265"/>
      <c r="AK347" s="36"/>
      <c r="AL347" s="1677"/>
      <c r="AM347" s="1678"/>
      <c r="AN347" s="1679"/>
      <c r="AO347" s="1680"/>
      <c r="AQ347" s="28">
        <f>SUM($AG$321:AH346)+(AG347/2)</f>
        <v>14.6</v>
      </c>
      <c r="AR347" s="57"/>
      <c r="AS347" s="871">
        <v>27</v>
      </c>
      <c r="AT347" s="871"/>
      <c r="AU347" s="1606">
        <f t="shared" si="19"/>
        <v>0</v>
      </c>
      <c r="AV347" s="1607"/>
      <c r="AX347" s="1153"/>
      <c r="AY347" s="1153"/>
      <c r="AZ347" s="1153"/>
      <c r="BA347" s="1153"/>
      <c r="BB347" s="1153"/>
      <c r="BC347" s="1191"/>
      <c r="BD347" s="1191"/>
      <c r="BE347" s="1191"/>
      <c r="BF347" s="1191"/>
      <c r="BG347" s="1191"/>
      <c r="BH347" s="1191"/>
      <c r="BI347" s="1191"/>
      <c r="BJ347" s="1191"/>
      <c r="BK347" s="1191"/>
      <c r="BL347" s="1191"/>
    </row>
    <row r="348" spans="1:64" ht="18.75" customHeight="1">
      <c r="A348" s="136"/>
      <c r="B348" s="261">
        <f t="shared" si="26"/>
        <v>21</v>
      </c>
      <c r="C348" s="262" t="s">
        <v>35</v>
      </c>
      <c r="D348" s="263">
        <v>22</v>
      </c>
      <c r="E348" s="909">
        <f t="shared" si="34"/>
        <v>1</v>
      </c>
      <c r="F348" s="909"/>
      <c r="G348" s="910">
        <f t="shared" si="35"/>
        <v>14.1</v>
      </c>
      <c r="H348" s="910"/>
      <c r="I348" s="910"/>
      <c r="J348" s="912">
        <f t="shared" si="36"/>
        <v>264000</v>
      </c>
      <c r="K348" s="912"/>
      <c r="L348" s="912"/>
      <c r="M348" s="906">
        <f t="shared" si="37"/>
        <v>0.10714285714285721</v>
      </c>
      <c r="N348" s="906"/>
      <c r="O348" s="907">
        <f t="shared" si="38"/>
        <v>3.9999999999999998E-7</v>
      </c>
      <c r="P348" s="907"/>
      <c r="Q348" s="908"/>
      <c r="S348" s="264"/>
      <c r="T348" s="264"/>
      <c r="U348" s="264"/>
      <c r="V348" s="264"/>
      <c r="X348" s="264"/>
      <c r="Y348" s="264"/>
      <c r="Z348" s="264"/>
      <c r="AG348" s="68"/>
      <c r="AH348" s="68"/>
      <c r="AI348" s="69"/>
      <c r="AJ348" s="70"/>
      <c r="AK348" s="71" t="s">
        <v>97</v>
      </c>
      <c r="AL348" s="1673">
        <f>SUM(AL321:AM346)</f>
        <v>1.268345263724789E-4</v>
      </c>
      <c r="AM348" s="1674"/>
      <c r="AN348" s="1671"/>
      <c r="AO348" s="1672"/>
    </row>
    <row r="349" spans="1:64" ht="18.75" customHeight="1">
      <c r="A349" s="136"/>
      <c r="B349" s="261"/>
      <c r="C349" s="262" t="s">
        <v>35</v>
      </c>
      <c r="D349" s="263"/>
      <c r="E349" s="909"/>
      <c r="F349" s="909"/>
      <c r="G349" s="910"/>
      <c r="H349" s="910"/>
      <c r="I349" s="910"/>
      <c r="J349" s="912"/>
      <c r="K349" s="912"/>
      <c r="L349" s="912"/>
      <c r="M349" s="906"/>
      <c r="N349" s="906"/>
      <c r="O349" s="907"/>
      <c r="P349" s="907"/>
      <c r="Q349" s="908"/>
      <c r="S349" s="264"/>
      <c r="T349" s="264"/>
      <c r="U349" s="264"/>
      <c r="V349" s="264"/>
      <c r="X349" s="264"/>
      <c r="Y349" s="264"/>
      <c r="Z349" s="264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X349" s="3"/>
      <c r="AY349" s="3"/>
      <c r="AZ349" s="5"/>
      <c r="BA349" s="5"/>
    </row>
    <row r="350" spans="1:64" ht="18.75" customHeight="1">
      <c r="A350" s="136"/>
      <c r="B350" s="261"/>
      <c r="C350" s="262"/>
      <c r="D350" s="263"/>
      <c r="E350" s="909"/>
      <c r="F350" s="909"/>
      <c r="G350" s="910"/>
      <c r="H350" s="910"/>
      <c r="I350" s="910"/>
      <c r="J350" s="912"/>
      <c r="K350" s="912"/>
      <c r="L350" s="912"/>
      <c r="M350" s="906"/>
      <c r="N350" s="906"/>
      <c r="O350" s="907"/>
      <c r="P350" s="907"/>
      <c r="Q350" s="908"/>
      <c r="S350" s="264"/>
      <c r="T350" s="264"/>
      <c r="U350" s="264"/>
      <c r="V350" s="264"/>
      <c r="X350" s="264"/>
      <c r="Y350" s="264"/>
      <c r="Z350" s="264"/>
      <c r="AD350" s="11"/>
      <c r="AE350" s="12"/>
      <c r="AF350" s="13"/>
      <c r="AS350" s="14"/>
      <c r="AT350" s="13"/>
      <c r="AU350" s="13"/>
      <c r="AV350" s="13"/>
      <c r="AW350" s="13"/>
      <c r="AX350" s="15"/>
      <c r="AY350" s="16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</row>
    <row r="351" spans="1:64" ht="18.75" customHeight="1" thickBot="1">
      <c r="A351" s="136"/>
      <c r="B351" s="266"/>
      <c r="C351" s="267"/>
      <c r="D351" s="268"/>
      <c r="E351" s="1665"/>
      <c r="F351" s="1665"/>
      <c r="G351" s="1666"/>
      <c r="H351" s="1666"/>
      <c r="I351" s="1666"/>
      <c r="J351" s="1667"/>
      <c r="K351" s="1667"/>
      <c r="L351" s="1667"/>
      <c r="M351" s="1668"/>
      <c r="N351" s="1668"/>
      <c r="O351" s="1669"/>
      <c r="P351" s="1669"/>
      <c r="Q351" s="1670"/>
      <c r="S351" s="269"/>
      <c r="T351" s="269"/>
      <c r="U351" s="269"/>
      <c r="V351" s="269"/>
      <c r="X351" s="269"/>
      <c r="Y351" s="269"/>
      <c r="Z351" s="269"/>
      <c r="AH351" s="3" t="s">
        <v>299</v>
      </c>
      <c r="AK351" s="3" t="s">
        <v>300</v>
      </c>
      <c r="BH351" s="1153"/>
      <c r="BI351" s="1153"/>
      <c r="BJ351" s="1153"/>
      <c r="BK351" s="1153"/>
      <c r="BL351" s="1153"/>
    </row>
    <row r="352" spans="1:64" ht="18.75" customHeight="1" thickTop="1" thickBot="1">
      <c r="A352" s="136"/>
      <c r="B352" s="270"/>
      <c r="C352" s="271"/>
      <c r="D352" s="272"/>
      <c r="E352" s="1388"/>
      <c r="F352" s="1388"/>
      <c r="G352" s="1370"/>
      <c r="H352" s="1370"/>
      <c r="I352" s="1370"/>
      <c r="J352" s="1371"/>
      <c r="K352" s="1371"/>
      <c r="L352" s="1371"/>
      <c r="M352" s="1372" t="s">
        <v>301</v>
      </c>
      <c r="N352" s="1372"/>
      <c r="O352" s="1373">
        <f>SUM(O327:Q351)</f>
        <v>1.2690000000000002E-4</v>
      </c>
      <c r="P352" s="1373">
        <f>SUM(P327:V351)</f>
        <v>0</v>
      </c>
      <c r="Q352" s="1374"/>
      <c r="S352" s="273"/>
      <c r="T352" s="273"/>
      <c r="U352" s="273"/>
      <c r="V352" s="273"/>
      <c r="X352" s="273"/>
      <c r="Y352" s="273"/>
      <c r="Z352" s="273"/>
      <c r="AH352" s="3" t="s">
        <v>302</v>
      </c>
      <c r="AK352" s="3" t="s">
        <v>303</v>
      </c>
      <c r="AW352" s="5"/>
      <c r="BH352" s="1191"/>
      <c r="BI352" s="1191"/>
      <c r="BJ352" s="1191"/>
      <c r="BK352" s="1191"/>
      <c r="BL352" s="1191"/>
    </row>
    <row r="353" spans="1:65" ht="18.75" customHeight="1" thickTop="1">
      <c r="A353" s="136"/>
      <c r="B353" s="159"/>
      <c r="C353" s="159"/>
      <c r="D353" s="159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258"/>
      <c r="R353" s="258"/>
      <c r="S353" s="258"/>
      <c r="T353" s="258"/>
      <c r="U353" s="258"/>
      <c r="V353" s="258"/>
      <c r="W353" s="258"/>
      <c r="X353" s="252"/>
      <c r="Y353" s="252"/>
      <c r="AD353" s="145" t="s">
        <v>304</v>
      </c>
      <c r="AE353" s="145" t="s">
        <v>305</v>
      </c>
      <c r="AT353" s="274"/>
      <c r="AW353" s="275"/>
      <c r="BH353" s="1063"/>
      <c r="BI353" s="1063"/>
      <c r="BJ353" s="1063"/>
      <c r="BK353" s="1063"/>
      <c r="BL353" s="1063"/>
    </row>
    <row r="354" spans="1:65" ht="18.75" customHeight="1">
      <c r="A354" s="136"/>
      <c r="B354" s="136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AC354" s="5"/>
      <c r="AF354" s="276"/>
      <c r="AI354" s="1384">
        <f>+G5/K5</f>
        <v>0.95454545454545447</v>
      </c>
      <c r="AJ354" s="1384"/>
      <c r="AX354" s="3"/>
      <c r="AZ354" s="5"/>
      <c r="BI354" s="1063"/>
      <c r="BJ354" s="1063"/>
      <c r="BK354" s="1063"/>
      <c r="BL354" s="1063"/>
      <c r="BM354" s="1063"/>
    </row>
    <row r="355" spans="1:65" ht="18.75" customHeight="1">
      <c r="A355" s="136"/>
      <c r="B355" s="136"/>
      <c r="C355" s="85" t="s">
        <v>306</v>
      </c>
      <c r="D355" s="85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85"/>
      <c r="AA355" s="85"/>
      <c r="AB355" s="85"/>
      <c r="AC355" s="5"/>
      <c r="AF355" s="277"/>
      <c r="AI355" s="278" t="s">
        <v>307</v>
      </c>
      <c r="AJ355" s="279" t="s">
        <v>308</v>
      </c>
      <c r="AK355" s="279" t="s">
        <v>309</v>
      </c>
      <c r="AL355" s="279" t="s">
        <v>310</v>
      </c>
      <c r="AM355" s="280" t="s">
        <v>311</v>
      </c>
      <c r="AX355" s="3"/>
      <c r="AZ355" s="5"/>
      <c r="BI355" s="1063"/>
      <c r="BJ355" s="1063"/>
      <c r="BK355" s="1063"/>
      <c r="BL355" s="1063"/>
      <c r="BM355" s="1063"/>
    </row>
    <row r="356" spans="1:65" ht="18.75" customHeight="1">
      <c r="A356" s="136"/>
      <c r="B356" s="136"/>
      <c r="C356" s="85"/>
      <c r="D356" s="85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85"/>
      <c r="AA356" s="85"/>
      <c r="AB356" s="85"/>
      <c r="AC356" s="5"/>
      <c r="AF356" s="276"/>
      <c r="AI356" s="281">
        <v>0</v>
      </c>
      <c r="AJ356" s="282">
        <v>0.4</v>
      </c>
      <c r="AK356" s="282">
        <v>0.1</v>
      </c>
      <c r="AL356" s="283">
        <f>SLOPE(AK356:AK357,AJ356:AJ357)</f>
        <v>0.16</v>
      </c>
      <c r="AM356" s="284">
        <f>INTERCEPT(AK356:AK357,AJ356:AJ357)</f>
        <v>3.5999999999999976E-2</v>
      </c>
      <c r="AX356" s="3"/>
      <c r="AZ356" s="5"/>
      <c r="BI356" s="1063"/>
      <c r="BJ356" s="1063"/>
      <c r="BK356" s="1063"/>
      <c r="BL356" s="1063"/>
      <c r="BM356" s="1063"/>
    </row>
    <row r="357" spans="1:65" ht="18.75" customHeight="1">
      <c r="A357" s="136"/>
      <c r="B357" s="136"/>
      <c r="C357" s="85"/>
      <c r="D357" s="85" t="s">
        <v>90</v>
      </c>
      <c r="E357" s="1664">
        <f>(0.5+0.0555*(D321/B321-1))*B321++H321</f>
        <v>11.622200000000001</v>
      </c>
      <c r="F357" s="1664"/>
      <c r="G357" s="1664"/>
      <c r="H357" s="132" t="s">
        <v>90</v>
      </c>
      <c r="I357" s="132" t="s">
        <v>312</v>
      </c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85"/>
      <c r="AA357" s="85"/>
      <c r="AB357" s="85"/>
      <c r="AC357" s="5"/>
      <c r="AF357" s="276"/>
      <c r="AI357" s="286">
        <v>0.5</v>
      </c>
      <c r="AJ357" s="287">
        <f>AI357*5+AJ356</f>
        <v>2.9</v>
      </c>
      <c r="AK357" s="282">
        <v>0.5</v>
      </c>
      <c r="AL357" s="283">
        <f>SLOPE(AK357:AK358,AJ357:AJ358)</f>
        <v>-3.4965034965034968E-2</v>
      </c>
      <c r="AM357" s="284">
        <f>INTERCEPT(AK357:AK358,AJ357:AJ358)</f>
        <v>0.60139860139860146</v>
      </c>
      <c r="AX357" s="3"/>
      <c r="AZ357" s="5"/>
      <c r="BI357" s="1063"/>
      <c r="BJ357" s="1063"/>
      <c r="BK357" s="1063"/>
      <c r="BL357" s="1063"/>
      <c r="BM357" s="1063"/>
    </row>
    <row r="358" spans="1:65" ht="18.75" customHeight="1">
      <c r="A358" s="136"/>
      <c r="B358" s="136"/>
      <c r="C358" s="85"/>
      <c r="D358" s="85"/>
      <c r="E358" s="285"/>
      <c r="F358" s="285"/>
      <c r="G358" s="285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85"/>
      <c r="AA358" s="85"/>
      <c r="AB358" s="85"/>
      <c r="AC358" s="5"/>
      <c r="AF358" s="276"/>
      <c r="AI358" s="288">
        <v>2</v>
      </c>
      <c r="AJ358" s="289">
        <f>AI358*G5+AJ356</f>
        <v>17.2</v>
      </c>
      <c r="AK358" s="289">
        <v>0</v>
      </c>
      <c r="AL358" s="290"/>
      <c r="AM358" s="291"/>
      <c r="AX358" s="3"/>
      <c r="AZ358" s="5"/>
      <c r="BI358" s="1063"/>
      <c r="BJ358" s="1063"/>
      <c r="BK358" s="1063"/>
      <c r="BL358" s="1063"/>
      <c r="BM358" s="1063"/>
    </row>
    <row r="359" spans="1:65" ht="18.75" customHeight="1">
      <c r="A359" s="136"/>
      <c r="B359" s="136"/>
      <c r="C359" s="85" t="s">
        <v>313</v>
      </c>
      <c r="D359" s="85"/>
      <c r="E359" s="135"/>
      <c r="F359" s="135"/>
      <c r="G359" s="135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85"/>
      <c r="AA359" s="85"/>
      <c r="AB359" s="85"/>
      <c r="AC359" s="5"/>
      <c r="AF359" s="276"/>
      <c r="AI359" s="278" t="s">
        <v>314</v>
      </c>
      <c r="AJ359" s="279" t="s">
        <v>308</v>
      </c>
      <c r="AK359" s="279" t="s">
        <v>309</v>
      </c>
      <c r="AL359" s="292" t="s">
        <v>310</v>
      </c>
      <c r="AM359" s="293" t="s">
        <v>311</v>
      </c>
      <c r="AX359" s="3"/>
      <c r="AZ359" s="5"/>
      <c r="BI359" s="38"/>
      <c r="BJ359" s="38"/>
      <c r="BK359" s="38"/>
      <c r="BL359" s="38"/>
      <c r="BM359" s="38"/>
    </row>
    <row r="360" spans="1:65" ht="15" customHeight="1">
      <c r="A360" s="136"/>
      <c r="B360" s="136"/>
      <c r="C360" s="85"/>
      <c r="D360" s="85"/>
      <c r="E360" s="135"/>
      <c r="F360" s="135"/>
      <c r="G360" s="135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85"/>
      <c r="AA360" s="85"/>
      <c r="AB360" s="85"/>
      <c r="AE360" s="276"/>
      <c r="AI360" s="281">
        <v>0</v>
      </c>
      <c r="AJ360" s="294">
        <v>7.4</v>
      </c>
      <c r="AK360" s="295">
        <f>0.0111*AI354+0.0889</f>
        <v>9.9495454545454554E-2</v>
      </c>
      <c r="AL360" s="283">
        <f>SLOPE(AK360:AK361,AJ360:AJ361)</f>
        <v>9.591979188983471E-2</v>
      </c>
      <c r="AM360" s="284">
        <f>INTERCEPT(AK360:AK361,AJ360:AJ361)</f>
        <v>-0.61031100543932248</v>
      </c>
      <c r="BH360" s="38"/>
      <c r="BI360" s="38"/>
      <c r="BJ360" s="38"/>
      <c r="BK360" s="38"/>
      <c r="BL360" s="38"/>
    </row>
    <row r="361" spans="1:65" ht="15" customHeight="1">
      <c r="A361" s="136"/>
      <c r="B361" s="136"/>
      <c r="C361" s="125" t="s">
        <v>315</v>
      </c>
      <c r="D361" s="125" t="s">
        <v>316</v>
      </c>
      <c r="E361" s="1067" t="s">
        <v>317</v>
      </c>
      <c r="F361" s="1067"/>
      <c r="G361" s="296" t="s">
        <v>249</v>
      </c>
      <c r="H361" s="1067" t="s">
        <v>318</v>
      </c>
      <c r="I361" s="1067"/>
      <c r="J361" s="296" t="s">
        <v>249</v>
      </c>
      <c r="K361" s="1067" t="s">
        <v>319</v>
      </c>
      <c r="L361" s="1067"/>
      <c r="M361" s="296" t="s">
        <v>249</v>
      </c>
      <c r="N361" s="296" t="s">
        <v>320</v>
      </c>
      <c r="O361" s="296" t="s">
        <v>249</v>
      </c>
      <c r="P361" s="296" t="s">
        <v>321</v>
      </c>
      <c r="Q361" s="297" t="s">
        <v>322</v>
      </c>
      <c r="R361" s="296" t="s">
        <v>323</v>
      </c>
      <c r="S361" s="296" t="s">
        <v>324</v>
      </c>
      <c r="T361" s="296" t="s">
        <v>249</v>
      </c>
      <c r="U361" s="1067" t="s">
        <v>325</v>
      </c>
      <c r="V361" s="1067"/>
      <c r="W361" s="125"/>
      <c r="X361" s="125"/>
      <c r="Y361" s="125"/>
      <c r="Z361" s="125"/>
      <c r="AA361" s="125"/>
      <c r="AB361" s="125"/>
      <c r="AE361" s="276"/>
      <c r="AI361" s="298">
        <f>0.0556*AI354+0.444</f>
        <v>0.49707272727272728</v>
      </c>
      <c r="AJ361" s="282">
        <f>AI361*G5+AJ360</f>
        <v>11.575410909090909</v>
      </c>
      <c r="AK361" s="282">
        <v>0.5</v>
      </c>
      <c r="AL361" s="283">
        <f>SLOPE(AK361:AK362,AJ361:AJ362)</f>
        <v>-3.9873206104457347E-2</v>
      </c>
      <c r="AM361" s="284">
        <f>INTERCEPT(AK361:AK362,AJ361:AJ362)</f>
        <v>0.96154874492196574</v>
      </c>
      <c r="BH361" s="38"/>
      <c r="BI361" s="38"/>
      <c r="BJ361" s="38"/>
      <c r="BK361" s="38"/>
      <c r="BL361" s="38"/>
    </row>
    <row r="362" spans="1:65" ht="15" customHeight="1">
      <c r="A362" s="136"/>
      <c r="B362" s="136"/>
      <c r="C362" s="125"/>
      <c r="D362" s="125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7"/>
      <c r="R362" s="296"/>
      <c r="S362" s="296"/>
      <c r="T362" s="296"/>
      <c r="U362" s="296"/>
      <c r="V362" s="296"/>
      <c r="W362" s="125"/>
      <c r="X362" s="125"/>
      <c r="Y362" s="125"/>
      <c r="Z362" s="125"/>
      <c r="AA362" s="125"/>
      <c r="AB362" s="125"/>
      <c r="AE362" s="276"/>
      <c r="AI362" s="299">
        <f>0.2222*AI354+1.7778</f>
        <v>1.9899</v>
      </c>
      <c r="AJ362" s="289">
        <f>AI362*G5+AJ360</f>
        <v>24.115160000000003</v>
      </c>
      <c r="AK362" s="289">
        <v>0</v>
      </c>
      <c r="AL362" s="290"/>
      <c r="AM362" s="291"/>
      <c r="BH362" s="38"/>
      <c r="BI362" s="38"/>
      <c r="BJ362" s="38"/>
      <c r="BK362" s="38"/>
      <c r="BL362" s="38"/>
    </row>
    <row r="363" spans="1:65" ht="15" customHeight="1">
      <c r="A363" s="136"/>
      <c r="B363" s="136"/>
      <c r="C363" s="125"/>
      <c r="D363" s="125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7"/>
      <c r="R363" s="296"/>
      <c r="S363" s="296"/>
      <c r="T363" s="296"/>
      <c r="U363" s="296"/>
      <c r="V363" s="296"/>
      <c r="W363" s="125"/>
      <c r="X363" s="125"/>
      <c r="Y363" s="125"/>
      <c r="Z363" s="125"/>
      <c r="AA363" s="125"/>
      <c r="AB363" s="125"/>
      <c r="AE363" s="276"/>
      <c r="AI363" s="278" t="s">
        <v>326</v>
      </c>
      <c r="AJ363" s="279" t="s">
        <v>308</v>
      </c>
      <c r="AK363" s="279" t="s">
        <v>309</v>
      </c>
      <c r="AL363" s="292" t="s">
        <v>310</v>
      </c>
      <c r="AM363" s="293" t="s">
        <v>311</v>
      </c>
      <c r="BH363" s="38"/>
      <c r="BI363" s="38"/>
      <c r="BJ363" s="38"/>
      <c r="BK363" s="38"/>
      <c r="BL363" s="38"/>
    </row>
    <row r="364" spans="1:65" ht="15" customHeight="1">
      <c r="A364" s="136"/>
      <c r="B364" s="136"/>
      <c r="C364" s="1376" t="s">
        <v>315</v>
      </c>
      <c r="D364" s="1377" t="s">
        <v>327</v>
      </c>
      <c r="E364" s="1375">
        <f>+T321</f>
        <v>0.5</v>
      </c>
      <c r="F364" s="1375"/>
      <c r="G364" s="1375"/>
      <c r="H364" s="1067" t="s">
        <v>249</v>
      </c>
      <c r="I364" s="1375">
        <f>+U370</f>
        <v>1.3397940008672038</v>
      </c>
      <c r="J364" s="1067" t="s">
        <v>249</v>
      </c>
      <c r="K364" s="1428">
        <f>+K321-Q321</f>
        <v>27.799999999999997</v>
      </c>
      <c r="L364" s="1428"/>
      <c r="M364" s="1067" t="s">
        <v>249</v>
      </c>
      <c r="N364" s="1663">
        <f>+O352</f>
        <v>1.2690000000000002E-4</v>
      </c>
      <c r="O364" s="1663"/>
      <c r="P364" s="1429" t="s">
        <v>328</v>
      </c>
      <c r="Q364" s="1429" t="s">
        <v>249</v>
      </c>
      <c r="R364" s="1503">
        <v>1000</v>
      </c>
      <c r="S364" s="1503"/>
      <c r="T364" s="1376" t="s">
        <v>316</v>
      </c>
      <c r="U364" s="1385">
        <f>(E364*I364*N364*K364)*R364</f>
        <v>2.3632760360696694</v>
      </c>
      <c r="V364" s="1385"/>
      <c r="W364" s="1385"/>
      <c r="X364" s="1386" t="s">
        <v>329</v>
      </c>
      <c r="Y364" s="1386"/>
      <c r="AE364" s="276"/>
      <c r="AI364" s="281">
        <v>0</v>
      </c>
      <c r="AJ364" s="282">
        <v>0.4</v>
      </c>
      <c r="AK364" s="282">
        <v>0.2</v>
      </c>
      <c r="AL364" s="283">
        <f>SLOPE(AK364:AK365,AJ364:AJ365)</f>
        <v>3.5714285714285712E-2</v>
      </c>
      <c r="AM364" s="284">
        <f>INTERCEPT(AK364:AK365,AJ364:AJ365)</f>
        <v>0.18571428571428569</v>
      </c>
      <c r="BH364" s="38"/>
      <c r="BI364" s="38"/>
      <c r="BJ364" s="38"/>
      <c r="BK364" s="38"/>
      <c r="BL364" s="38"/>
    </row>
    <row r="365" spans="1:65" ht="15" customHeight="1">
      <c r="A365" s="136"/>
      <c r="B365" s="136"/>
      <c r="C365" s="1376"/>
      <c r="D365" s="1376"/>
      <c r="E365" s="1375"/>
      <c r="F365" s="1375"/>
      <c r="G365" s="1375"/>
      <c r="H365" s="1067" t="s">
        <v>249</v>
      </c>
      <c r="I365" s="1375"/>
      <c r="J365" s="1067" t="s">
        <v>249</v>
      </c>
      <c r="K365" s="1428"/>
      <c r="L365" s="1428"/>
      <c r="M365" s="1067" t="s">
        <v>249</v>
      </c>
      <c r="N365" s="1663"/>
      <c r="O365" s="1663"/>
      <c r="P365" s="1429"/>
      <c r="Q365" s="1429"/>
      <c r="R365" s="1503"/>
      <c r="S365" s="1503"/>
      <c r="T365" s="1376"/>
      <c r="U365" s="1385"/>
      <c r="V365" s="1385"/>
      <c r="W365" s="1385"/>
      <c r="X365" s="1386"/>
      <c r="Y365" s="1386"/>
      <c r="AE365" s="276"/>
      <c r="AI365" s="286">
        <v>1</v>
      </c>
      <c r="AJ365" s="282">
        <f>AI365*G5+AJ364</f>
        <v>8.8000000000000007</v>
      </c>
      <c r="AK365" s="282">
        <v>0.5</v>
      </c>
      <c r="AL365" s="283">
        <f>SLOPE(AK365:AK366,AJ365:AJ366)</f>
        <v>-1.984126984126984E-2</v>
      </c>
      <c r="AM365" s="284">
        <f>INTERCEPT(AK365:AK366,AJ365:AJ366)</f>
        <v>0.67460317460317454</v>
      </c>
      <c r="BH365" s="38"/>
      <c r="BI365" s="38"/>
      <c r="BJ365" s="38"/>
      <c r="BK365" s="38"/>
      <c r="BL365" s="38"/>
    </row>
    <row r="366" spans="1:65" ht="15" customHeight="1">
      <c r="A366" s="136"/>
      <c r="B366" s="136"/>
      <c r="C366" s="130"/>
      <c r="D366" s="1376" t="s">
        <v>317</v>
      </c>
      <c r="E366" s="1377" t="s">
        <v>316</v>
      </c>
      <c r="F366" s="1067">
        <v>1</v>
      </c>
      <c r="G366" s="1067"/>
      <c r="H366" s="1067" t="s">
        <v>330</v>
      </c>
      <c r="I366" s="1428">
        <v>0.5</v>
      </c>
      <c r="J366" s="1428"/>
      <c r="K366" s="1067" t="s">
        <v>331</v>
      </c>
      <c r="L366" s="1387" t="s">
        <v>332</v>
      </c>
      <c r="M366" s="1387"/>
      <c r="N366" s="1387"/>
      <c r="O366" s="1387"/>
      <c r="P366" s="1387"/>
      <c r="Q366" s="1067" t="s">
        <v>324</v>
      </c>
      <c r="R366" s="296"/>
      <c r="S366" s="296" t="s">
        <v>333</v>
      </c>
      <c r="T366" s="296" t="s">
        <v>316</v>
      </c>
      <c r="U366" s="1067">
        <f>+Q321</f>
        <v>122.2</v>
      </c>
      <c r="V366" s="1067"/>
      <c r="W366" s="1067"/>
      <c r="X366" s="303" t="s">
        <v>334</v>
      </c>
      <c r="Y366" s="303"/>
      <c r="Z366" s="125"/>
      <c r="AA366" s="125"/>
      <c r="AB366" s="125"/>
      <c r="AE366" s="276"/>
      <c r="AI366" s="288">
        <v>4</v>
      </c>
      <c r="AJ366" s="289">
        <f>AI366*G5+AJ364</f>
        <v>34</v>
      </c>
      <c r="AK366" s="289">
        <v>0</v>
      </c>
      <c r="AL366" s="304"/>
      <c r="AM366" s="305"/>
      <c r="BH366" s="38"/>
      <c r="BI366" s="38"/>
      <c r="BJ366" s="38"/>
      <c r="BK366" s="38"/>
      <c r="BL366" s="38"/>
    </row>
    <row r="367" spans="1:65" ht="15" customHeight="1">
      <c r="A367" s="136"/>
      <c r="B367" s="136"/>
      <c r="C367" s="130"/>
      <c r="D367" s="1376"/>
      <c r="E367" s="1377"/>
      <c r="F367" s="1067"/>
      <c r="G367" s="1067"/>
      <c r="H367" s="1067"/>
      <c r="I367" s="1428"/>
      <c r="J367" s="1428"/>
      <c r="K367" s="1067"/>
      <c r="L367" s="1391" t="s">
        <v>335</v>
      </c>
      <c r="M367" s="1391"/>
      <c r="N367" s="296" t="s">
        <v>330</v>
      </c>
      <c r="O367" s="1391" t="s">
        <v>333</v>
      </c>
      <c r="P367" s="1391"/>
      <c r="Q367" s="1067"/>
      <c r="R367" s="296"/>
      <c r="S367" s="296" t="s">
        <v>335</v>
      </c>
      <c r="T367" s="296" t="s">
        <v>316</v>
      </c>
      <c r="U367" s="1067">
        <f>+K321</f>
        <v>150</v>
      </c>
      <c r="V367" s="1067"/>
      <c r="W367" s="1067"/>
      <c r="X367" s="303" t="s">
        <v>334</v>
      </c>
      <c r="Y367" s="303"/>
      <c r="Z367" s="125"/>
      <c r="AA367" s="125"/>
      <c r="AB367" s="125"/>
      <c r="AE367" s="276"/>
      <c r="BH367" s="38"/>
      <c r="BI367" s="38"/>
      <c r="BJ367" s="38"/>
      <c r="BK367" s="38"/>
      <c r="BL367" s="38"/>
    </row>
    <row r="368" spans="1:65" ht="15" customHeight="1">
      <c r="A368" s="136"/>
      <c r="B368" s="136"/>
      <c r="C368" s="130"/>
      <c r="D368" s="125"/>
      <c r="E368" s="1376"/>
      <c r="F368" s="1067">
        <v>1</v>
      </c>
      <c r="G368" s="1067"/>
      <c r="H368" s="1066" t="s">
        <v>330</v>
      </c>
      <c r="I368" s="1067">
        <v>0.5</v>
      </c>
      <c r="J368" s="1067"/>
      <c r="K368" s="1067" t="s">
        <v>336</v>
      </c>
      <c r="L368" s="1387">
        <f>+Q321</f>
        <v>122.2</v>
      </c>
      <c r="M368" s="1387"/>
      <c r="N368" s="1387"/>
      <c r="O368" s="1387"/>
      <c r="P368" s="1387"/>
      <c r="Q368" s="1067" t="s">
        <v>324</v>
      </c>
      <c r="R368" s="296"/>
      <c r="S368" s="296"/>
      <c r="T368" s="1067" t="s">
        <v>316</v>
      </c>
      <c r="U368" s="1389">
        <f>1-0.5*((U366/(U367-U366)))</f>
        <v>-1.1978417266187051</v>
      </c>
      <c r="V368" s="1389"/>
      <c r="W368" s="1389"/>
      <c r="X368" s="1390" t="s">
        <v>334</v>
      </c>
      <c r="Y368" s="1390"/>
      <c r="Z368" s="125"/>
      <c r="AA368" s="125"/>
      <c r="AB368" s="125"/>
      <c r="AE368" s="276"/>
      <c r="BH368" s="38"/>
      <c r="BI368" s="38"/>
      <c r="BJ368" s="38"/>
      <c r="BK368" s="38"/>
      <c r="BL368" s="38"/>
    </row>
    <row r="369" spans="1:64" ht="15" customHeight="1">
      <c r="A369" s="136"/>
      <c r="B369" s="136"/>
      <c r="C369" s="130"/>
      <c r="D369" s="125"/>
      <c r="E369" s="1376"/>
      <c r="F369" s="1067"/>
      <c r="G369" s="1067"/>
      <c r="H369" s="1066"/>
      <c r="I369" s="1067"/>
      <c r="J369" s="1067"/>
      <c r="K369" s="1067"/>
      <c r="L369" s="1391">
        <f>+K321</f>
        <v>150</v>
      </c>
      <c r="M369" s="1391"/>
      <c r="N369" s="296" t="s">
        <v>330</v>
      </c>
      <c r="O369" s="1391">
        <f>+Q321</f>
        <v>122.2</v>
      </c>
      <c r="P369" s="1391"/>
      <c r="Q369" s="1067"/>
      <c r="R369" s="296"/>
      <c r="S369" s="296"/>
      <c r="T369" s="1067"/>
      <c r="U369" s="1389"/>
      <c r="V369" s="1389"/>
      <c r="W369" s="1389"/>
      <c r="X369" s="1390"/>
      <c r="Y369" s="1390"/>
      <c r="Z369" s="125"/>
      <c r="AA369" s="125"/>
      <c r="AB369" s="125"/>
      <c r="AE369" s="276"/>
      <c r="BH369" s="38"/>
      <c r="BI369" s="38"/>
      <c r="BJ369" s="38"/>
      <c r="BK369" s="38"/>
      <c r="BL369" s="38"/>
    </row>
    <row r="370" spans="1:64" ht="15" customHeight="1">
      <c r="A370" s="136"/>
      <c r="B370" s="136"/>
      <c r="C370" s="130"/>
      <c r="D370" s="1376" t="s">
        <v>318</v>
      </c>
      <c r="E370" s="1376" t="s">
        <v>316</v>
      </c>
      <c r="F370" s="1067">
        <v>1</v>
      </c>
      <c r="G370" s="1067"/>
      <c r="H370" s="1067" t="s">
        <v>337</v>
      </c>
      <c r="I370" s="1067">
        <v>0.2</v>
      </c>
      <c r="J370" s="1067"/>
      <c r="K370" s="1067"/>
      <c r="L370" s="1437" t="s">
        <v>338</v>
      </c>
      <c r="M370" s="1437"/>
      <c r="N370" s="1437" t="s">
        <v>331</v>
      </c>
      <c r="O370" s="1387">
        <v>10</v>
      </c>
      <c r="P370" s="1387"/>
      <c r="Q370" s="1387"/>
      <c r="R370" s="1067" t="s">
        <v>324</v>
      </c>
      <c r="S370" s="296"/>
      <c r="T370" s="1067" t="s">
        <v>316</v>
      </c>
      <c r="U370" s="1375">
        <f>1+0.2*LOG((O370/0.2))</f>
        <v>1.3397940008672038</v>
      </c>
      <c r="V370" s="1375"/>
      <c r="W370" s="1375"/>
      <c r="X370" s="296"/>
      <c r="Y370" s="296"/>
      <c r="Z370" s="125"/>
      <c r="AA370" s="125"/>
      <c r="AB370" s="125"/>
      <c r="AE370" s="276"/>
      <c r="BH370" s="38"/>
      <c r="BI370" s="38"/>
      <c r="BJ370" s="38"/>
      <c r="BK370" s="38"/>
      <c r="BL370" s="38"/>
    </row>
    <row r="371" spans="1:64" ht="15" customHeight="1">
      <c r="A371" s="136"/>
      <c r="B371" s="136"/>
      <c r="C371" s="130"/>
      <c r="D371" s="1376"/>
      <c r="E371" s="1376"/>
      <c r="F371" s="1067"/>
      <c r="G371" s="1067"/>
      <c r="H371" s="1067"/>
      <c r="I371" s="1067"/>
      <c r="J371" s="1067"/>
      <c r="K371" s="1067"/>
      <c r="L371" s="1437"/>
      <c r="M371" s="1437"/>
      <c r="N371" s="1437"/>
      <c r="O371" s="1391">
        <v>0.1</v>
      </c>
      <c r="P371" s="1391"/>
      <c r="Q371" s="1391"/>
      <c r="R371" s="1067"/>
      <c r="S371" s="296"/>
      <c r="T371" s="1067"/>
      <c r="U371" s="1375"/>
      <c r="V371" s="1375"/>
      <c r="W371" s="1375"/>
      <c r="X371" s="296"/>
      <c r="Y371" s="296"/>
      <c r="Z371" s="125"/>
      <c r="AA371" s="125"/>
      <c r="AB371" s="125"/>
      <c r="AE371" s="276"/>
      <c r="BH371" s="38"/>
      <c r="BI371" s="38"/>
      <c r="BJ371" s="38"/>
      <c r="BK371" s="38"/>
      <c r="BL371" s="38"/>
    </row>
    <row r="372" spans="1:64" ht="15" customHeight="1">
      <c r="A372" s="136"/>
      <c r="B372" s="136"/>
      <c r="C372" s="85"/>
      <c r="D372" s="85"/>
      <c r="E372" s="85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85"/>
      <c r="AA372" s="85"/>
      <c r="AB372" s="85"/>
      <c r="AE372" s="276"/>
      <c r="BH372" s="38"/>
      <c r="BI372" s="38"/>
      <c r="BJ372" s="38"/>
      <c r="BK372" s="38"/>
      <c r="BL372" s="38"/>
    </row>
    <row r="373" spans="1:64" ht="15" customHeight="1">
      <c r="A373" s="136"/>
      <c r="B373" s="136"/>
      <c r="C373" s="85"/>
      <c r="D373" s="85"/>
      <c r="E373" s="85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85"/>
      <c r="AA373" s="85"/>
      <c r="AB373" s="85"/>
      <c r="AE373" s="276"/>
      <c r="BH373" s="38"/>
      <c r="BI373" s="38"/>
      <c r="BJ373" s="38"/>
      <c r="BK373" s="38"/>
      <c r="BL373" s="38"/>
    </row>
    <row r="374" spans="1:64" ht="15" customHeight="1">
      <c r="A374" s="136"/>
      <c r="B374" s="306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AE374" s="276"/>
      <c r="BH374" s="38"/>
      <c r="BI374" s="38"/>
      <c r="BJ374" s="38"/>
      <c r="BK374" s="38"/>
      <c r="BL374" s="38"/>
    </row>
    <row r="375" spans="1:64" ht="14.25" customHeight="1">
      <c r="A375" s="136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AE375" s="276"/>
      <c r="BH375" s="38"/>
      <c r="BI375" s="38"/>
      <c r="BJ375" s="38"/>
      <c r="BK375" s="38"/>
      <c r="BL375" s="38"/>
    </row>
    <row r="376" spans="1:64" ht="14.25" customHeight="1">
      <c r="A376" s="136"/>
      <c r="B376" s="136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AE376" s="276"/>
      <c r="BH376" s="38"/>
      <c r="BI376" s="38"/>
      <c r="BJ376" s="38"/>
      <c r="BK376" s="38"/>
      <c r="BL376" s="38"/>
    </row>
    <row r="377" spans="1:64" ht="27.75" customHeight="1">
      <c r="A377" s="136"/>
      <c r="B377" s="1400" t="s">
        <v>339</v>
      </c>
      <c r="C377" s="1400"/>
      <c r="D377" s="1400"/>
      <c r="E377" s="1400"/>
      <c r="F377" s="1400"/>
      <c r="G377" s="1400"/>
      <c r="H377" s="1400"/>
      <c r="I377" s="1400"/>
      <c r="J377" s="1400"/>
      <c r="K377" s="1400"/>
      <c r="L377" s="1400"/>
      <c r="M377" s="1400"/>
      <c r="N377" s="1400"/>
      <c r="O377" s="1400"/>
      <c r="P377" s="1400"/>
      <c r="Q377" s="1400"/>
      <c r="R377" s="1400"/>
      <c r="S377" s="1401">
        <f>+U364</f>
        <v>2.3632760360696694</v>
      </c>
      <c r="T377" s="1401"/>
      <c r="U377" s="1401"/>
      <c r="V377" s="1401"/>
      <c r="W377" s="1401"/>
      <c r="X377" s="1401"/>
      <c r="Y377" s="1401"/>
      <c r="Z377" s="1401"/>
      <c r="AA377" s="307"/>
      <c r="AB377" s="307"/>
      <c r="AE377" s="276"/>
      <c r="BH377" s="38"/>
      <c r="BI377" s="38"/>
      <c r="BJ377" s="38"/>
      <c r="BK377" s="38"/>
      <c r="BL377" s="38"/>
    </row>
    <row r="378" spans="1:64" ht="27.75" customHeight="1">
      <c r="A378" s="136"/>
      <c r="B378" s="1402" t="s">
        <v>340</v>
      </c>
      <c r="C378" s="1402"/>
      <c r="D378" s="1402"/>
      <c r="E378" s="1402"/>
      <c r="F378" s="1402"/>
      <c r="G378" s="1402"/>
      <c r="H378" s="1402"/>
      <c r="I378" s="1402"/>
      <c r="J378" s="1402"/>
      <c r="K378" s="1402"/>
      <c r="L378" s="1402"/>
      <c r="M378" s="1402"/>
      <c r="N378" s="1402"/>
      <c r="O378" s="1402"/>
      <c r="P378" s="1402"/>
      <c r="Q378" s="1402"/>
      <c r="R378" s="1402"/>
      <c r="S378" s="1403">
        <v>25</v>
      </c>
      <c r="T378" s="1403"/>
      <c r="U378" s="1403"/>
      <c r="V378" s="1403"/>
      <c r="W378" s="1403"/>
      <c r="X378" s="1403"/>
      <c r="Y378" s="1403"/>
      <c r="Z378" s="1403"/>
      <c r="AA378" s="308"/>
      <c r="AB378" s="308"/>
      <c r="AE378" s="276"/>
      <c r="BH378" s="38"/>
      <c r="BI378" s="38"/>
      <c r="BJ378" s="38"/>
      <c r="BK378" s="38"/>
      <c r="BL378" s="38"/>
    </row>
    <row r="379" spans="1:64" ht="27.75" customHeight="1">
      <c r="A379" s="136"/>
      <c r="B379" s="1404" t="s">
        <v>341</v>
      </c>
      <c r="C379" s="1404"/>
      <c r="D379" s="1404"/>
      <c r="E379" s="1404"/>
      <c r="F379" s="1404"/>
      <c r="G379" s="1404"/>
      <c r="H379" s="1404"/>
      <c r="I379" s="1404"/>
      <c r="J379" s="1404"/>
      <c r="K379" s="1404"/>
      <c r="L379" s="1404"/>
      <c r="M379" s="1404"/>
      <c r="N379" s="1404"/>
      <c r="O379" s="1404"/>
      <c r="P379" s="1404"/>
      <c r="Q379" s="1404"/>
      <c r="R379" s="1404"/>
      <c r="S379" s="1404" t="str">
        <f>IF(S377 &lt;= S378, "O.K", "N.G")</f>
        <v>O.K</v>
      </c>
      <c r="T379" s="1404"/>
      <c r="U379" s="1404"/>
      <c r="V379" s="1404"/>
      <c r="W379" s="1404"/>
      <c r="X379" s="1404"/>
      <c r="Y379" s="1404"/>
      <c r="Z379" s="1404"/>
      <c r="AA379" s="309"/>
      <c r="AB379" s="309"/>
      <c r="AE379" s="276"/>
      <c r="BH379" s="38"/>
      <c r="BI379" s="38"/>
      <c r="BJ379" s="38"/>
      <c r="BK379" s="38"/>
      <c r="BL379" s="38"/>
    </row>
    <row r="380" spans="1:64" ht="15" customHeight="1">
      <c r="A380" s="136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E380" s="276"/>
      <c r="BH380" s="38"/>
      <c r="BI380" s="38"/>
      <c r="BJ380" s="38"/>
      <c r="BK380" s="38"/>
      <c r="BL380" s="38"/>
    </row>
    <row r="381" spans="1:64" ht="15" customHeight="1">
      <c r="A381" s="136"/>
      <c r="B381" s="136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AE381" s="276"/>
      <c r="BH381" s="38"/>
      <c r="BI381" s="38"/>
      <c r="BJ381" s="38"/>
      <c r="BK381" s="38"/>
      <c r="BL381" s="38"/>
    </row>
    <row r="382" spans="1:64" ht="15" customHeight="1">
      <c r="A382" s="136"/>
      <c r="B382" s="136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AE382" s="276"/>
      <c r="BH382" s="38"/>
      <c r="BI382" s="38"/>
      <c r="BJ382" s="38"/>
      <c r="BK382" s="38"/>
      <c r="BL382" s="38"/>
    </row>
    <row r="383" spans="1:64" ht="15" customHeight="1">
      <c r="A383" s="136"/>
      <c r="B383" s="136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AE383" s="276"/>
      <c r="BH383" s="38"/>
      <c r="BI383" s="38"/>
      <c r="BJ383" s="38"/>
      <c r="BK383" s="38"/>
      <c r="BL383" s="38"/>
    </row>
    <row r="384" spans="1:64" ht="15" customHeight="1">
      <c r="A384" s="136"/>
      <c r="B384" s="136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AE384" s="276"/>
      <c r="BH384" s="38"/>
      <c r="BI384" s="38"/>
      <c r="BJ384" s="38"/>
      <c r="BK384" s="38"/>
      <c r="BL384" s="38"/>
    </row>
    <row r="385" spans="1:64" ht="15" customHeight="1">
      <c r="A385" s="136"/>
      <c r="B385" s="136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AE385" s="276"/>
      <c r="BH385" s="38"/>
      <c r="BI385" s="38"/>
      <c r="BJ385" s="38"/>
      <c r="BK385" s="38"/>
      <c r="BL385" s="38"/>
    </row>
    <row r="386" spans="1:64" ht="15" customHeight="1">
      <c r="A386" s="136"/>
      <c r="B386" s="136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AE386" s="276"/>
      <c r="BH386" s="38"/>
      <c r="BI386" s="38"/>
      <c r="BJ386" s="38"/>
      <c r="BK386" s="38"/>
      <c r="BL386" s="38"/>
    </row>
    <row r="387" spans="1:64" ht="15" customHeight="1">
      <c r="A387" s="136"/>
      <c r="B387" s="136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AE387" s="276"/>
      <c r="BH387" s="38"/>
      <c r="BI387" s="38"/>
      <c r="BJ387" s="38"/>
      <c r="BK387" s="38"/>
      <c r="BL387" s="38"/>
    </row>
    <row r="388" spans="1:64" ht="15" customHeight="1">
      <c r="A388" s="136"/>
      <c r="B388" s="136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AE388" s="276"/>
      <c r="BH388" s="38"/>
      <c r="BI388" s="38"/>
      <c r="BJ388" s="38"/>
      <c r="BK388" s="38"/>
      <c r="BL388" s="38"/>
    </row>
    <row r="389" spans="1:64" ht="15" customHeight="1">
      <c r="A389" s="136"/>
      <c r="B389" s="136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AE389" s="276"/>
      <c r="BH389" s="38"/>
      <c r="BI389" s="38"/>
      <c r="BJ389" s="38"/>
      <c r="BK389" s="38"/>
      <c r="BL389" s="38"/>
    </row>
    <row r="390" spans="1:64" ht="15" customHeight="1">
      <c r="A390" s="136"/>
      <c r="B390" s="136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AE390" s="276"/>
      <c r="BH390" s="38"/>
      <c r="BI390" s="38"/>
      <c r="BJ390" s="38"/>
      <c r="BK390" s="38"/>
      <c r="BL390" s="38"/>
    </row>
    <row r="391" spans="1:64" ht="15" customHeight="1">
      <c r="A391" s="136"/>
      <c r="B391" s="136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AE391" s="276"/>
      <c r="BH391" s="38"/>
      <c r="BI391" s="38"/>
      <c r="BJ391" s="38"/>
      <c r="BK391" s="38"/>
      <c r="BL391" s="38"/>
    </row>
    <row r="392" spans="1:64" ht="15" customHeight="1">
      <c r="A392" s="136"/>
      <c r="B392" s="136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AE392" s="276"/>
      <c r="BH392" s="38"/>
      <c r="BI392" s="38"/>
      <c r="BJ392" s="38"/>
      <c r="BK392" s="38"/>
      <c r="BL392" s="38"/>
    </row>
    <row r="393" spans="1:64" ht="15" customHeight="1">
      <c r="A393" s="136"/>
      <c r="B393" s="136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AE393" s="276"/>
      <c r="BH393" s="38"/>
      <c r="BI393" s="38"/>
      <c r="BJ393" s="38"/>
      <c r="BK393" s="38"/>
      <c r="BL393" s="38"/>
    </row>
    <row r="394" spans="1:64" ht="15" customHeight="1">
      <c r="A394" s="136"/>
      <c r="B394" s="136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AE394" s="276"/>
      <c r="BH394" s="38"/>
      <c r="BI394" s="38"/>
      <c r="BJ394" s="38"/>
      <c r="BK394" s="38"/>
      <c r="BL394" s="38"/>
    </row>
    <row r="395" spans="1:64" ht="15" customHeight="1">
      <c r="A395" s="136"/>
      <c r="B395" s="136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AE395" s="276"/>
      <c r="BH395" s="38"/>
      <c r="BI395" s="38"/>
      <c r="BJ395" s="38"/>
      <c r="BK395" s="38"/>
      <c r="BL395" s="38"/>
    </row>
    <row r="396" spans="1:64" ht="15" customHeight="1">
      <c r="A396" s="136"/>
      <c r="B396" s="136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AE396" s="276"/>
      <c r="BH396" s="38"/>
      <c r="BI396" s="38"/>
      <c r="BJ396" s="38"/>
      <c r="BK396" s="38"/>
      <c r="BL396" s="38"/>
    </row>
    <row r="397" spans="1:64" ht="15" customHeight="1">
      <c r="A397" s="136"/>
      <c r="B397" s="136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AE397" s="276"/>
      <c r="BH397" s="38"/>
      <c r="BI397" s="38"/>
      <c r="BJ397" s="38"/>
      <c r="BK397" s="38"/>
      <c r="BL397" s="38"/>
    </row>
    <row r="398" spans="1:64" ht="15" customHeight="1">
      <c r="A398" s="136"/>
      <c r="B398" s="136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AE398" s="276"/>
      <c r="BH398" s="38"/>
      <c r="BI398" s="38"/>
      <c r="BJ398" s="38"/>
      <c r="BK398" s="38"/>
      <c r="BL398" s="38"/>
    </row>
    <row r="399" spans="1:64" ht="15" customHeight="1">
      <c r="A399" s="136"/>
      <c r="B399" s="136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AE399" s="276"/>
      <c r="BH399" s="38"/>
      <c r="BI399" s="38"/>
      <c r="BJ399" s="38"/>
      <c r="BK399" s="38"/>
      <c r="BL399" s="38"/>
    </row>
    <row r="400" spans="1:64" ht="15" customHeight="1">
      <c r="A400" s="136"/>
      <c r="B400" s="136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AE400" s="276"/>
      <c r="BH400" s="38"/>
      <c r="BI400" s="38"/>
      <c r="BJ400" s="38"/>
      <c r="BK400" s="38"/>
      <c r="BL400" s="38"/>
    </row>
    <row r="401" spans="1:64" ht="15" customHeight="1">
      <c r="A401" s="136"/>
      <c r="B401" s="136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AE401" s="276"/>
      <c r="BH401" s="38"/>
      <c r="BI401" s="38"/>
      <c r="BJ401" s="38"/>
      <c r="BK401" s="38"/>
      <c r="BL401" s="38"/>
    </row>
    <row r="402" spans="1:64" ht="15" customHeight="1">
      <c r="A402" s="136"/>
      <c r="B402" s="136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AE402" s="276"/>
      <c r="BH402" s="38"/>
      <c r="BI402" s="38"/>
      <c r="BJ402" s="38"/>
      <c r="BK402" s="38"/>
      <c r="BL402" s="38"/>
    </row>
    <row r="403" spans="1:64" ht="15" customHeight="1">
      <c r="A403" s="136"/>
      <c r="B403" s="136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AE403" s="276"/>
      <c r="BH403" s="38"/>
      <c r="BI403" s="38"/>
      <c r="BJ403" s="38"/>
      <c r="BK403" s="38"/>
      <c r="BL403" s="38"/>
    </row>
    <row r="404" spans="1:64" ht="15" customHeight="1">
      <c r="A404" s="136"/>
      <c r="B404" s="136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AE404" s="276"/>
      <c r="BH404" s="38"/>
      <c r="BI404" s="38"/>
      <c r="BJ404" s="38"/>
      <c r="BK404" s="38"/>
      <c r="BL404" s="38"/>
    </row>
    <row r="405" spans="1:64" ht="15" customHeight="1">
      <c r="A405" s="136"/>
      <c r="B405" s="136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AE405" s="276"/>
      <c r="BH405" s="38"/>
      <c r="BI405" s="38"/>
      <c r="BJ405" s="38"/>
      <c r="BK405" s="38"/>
      <c r="BL405" s="38"/>
    </row>
    <row r="406" spans="1:64" ht="15" customHeight="1">
      <c r="A406" s="136"/>
      <c r="B406" s="136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AE406" s="276"/>
      <c r="BH406" s="38"/>
      <c r="BI406" s="38"/>
      <c r="BJ406" s="38"/>
      <c r="BK406" s="38"/>
      <c r="BL406" s="38"/>
    </row>
    <row r="407" spans="1:64" ht="15" customHeight="1">
      <c r="A407" s="136"/>
      <c r="B407" s="136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AE407" s="276"/>
      <c r="BH407" s="38"/>
      <c r="BI407" s="38"/>
      <c r="BJ407" s="38"/>
      <c r="BK407" s="38"/>
      <c r="BL407" s="38"/>
    </row>
    <row r="408" spans="1:64" ht="15" customHeight="1">
      <c r="A408" s="136"/>
      <c r="B408" s="136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AE408" s="276"/>
      <c r="BH408" s="38"/>
      <c r="BI408" s="38"/>
      <c r="BJ408" s="38"/>
      <c r="BK408" s="38"/>
      <c r="BL408" s="38"/>
    </row>
    <row r="409" spans="1:64" ht="15" customHeight="1">
      <c r="A409" s="136"/>
      <c r="B409" s="136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AE409" s="276"/>
      <c r="BH409" s="38"/>
      <c r="BI409" s="38"/>
      <c r="BJ409" s="38"/>
      <c r="BK409" s="38"/>
      <c r="BL409" s="38"/>
    </row>
    <row r="410" spans="1:64" ht="15" customHeight="1">
      <c r="A410" s="136"/>
      <c r="B410" s="136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AE410" s="276"/>
      <c r="BH410" s="38"/>
      <c r="BI410" s="38"/>
      <c r="BJ410" s="38"/>
      <c r="BK410" s="38"/>
      <c r="BL410" s="38"/>
    </row>
    <row r="411" spans="1:64" ht="15" customHeight="1">
      <c r="A411" s="136"/>
      <c r="B411" s="136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AE411" s="276"/>
      <c r="BH411" s="38"/>
      <c r="BI411" s="38"/>
      <c r="BJ411" s="38"/>
      <c r="BK411" s="38"/>
      <c r="BL411" s="38"/>
    </row>
    <row r="412" spans="1:64" ht="15" customHeight="1">
      <c r="A412" s="136"/>
      <c r="B412" s="136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AE412" s="276"/>
      <c r="BH412" s="38"/>
      <c r="BI412" s="38"/>
      <c r="BJ412" s="38"/>
      <c r="BK412" s="38"/>
      <c r="BL412" s="38"/>
    </row>
    <row r="413" spans="1:64" ht="15" customHeight="1">
      <c r="A413" s="136"/>
      <c r="B413" s="136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AE413" s="276"/>
      <c r="BH413" s="38"/>
      <c r="BI413" s="38"/>
      <c r="BJ413" s="38"/>
      <c r="BK413" s="38"/>
      <c r="BL413" s="38"/>
    </row>
    <row r="414" spans="1:64" ht="15" customHeight="1">
      <c r="A414" s="136"/>
      <c r="B414" s="136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AE414" s="276"/>
      <c r="BH414" s="38"/>
      <c r="BI414" s="38"/>
      <c r="BJ414" s="38"/>
      <c r="BK414" s="38"/>
      <c r="BL414" s="38"/>
    </row>
    <row r="415" spans="1:64" ht="15" customHeight="1">
      <c r="A415" s="136"/>
      <c r="B415" s="136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AE415" s="276"/>
      <c r="BH415" s="38"/>
      <c r="BI415" s="38"/>
      <c r="BJ415" s="38"/>
      <c r="BK415" s="38"/>
      <c r="BL415" s="38"/>
    </row>
    <row r="416" spans="1:64" ht="15" customHeight="1">
      <c r="A416" s="136"/>
      <c r="B416" s="136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AE416" s="276"/>
      <c r="BH416" s="38"/>
      <c r="BI416" s="38"/>
      <c r="BJ416" s="38"/>
      <c r="BK416" s="38"/>
      <c r="BL416" s="38"/>
    </row>
    <row r="417" spans="1:88" ht="15" customHeight="1">
      <c r="A417" s="136"/>
      <c r="B417" s="255" t="s">
        <v>342</v>
      </c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AE417" s="276"/>
      <c r="BH417" s="38"/>
      <c r="BI417" s="38"/>
      <c r="BJ417" s="38"/>
      <c r="BK417" s="38"/>
      <c r="BL417" s="38"/>
    </row>
    <row r="418" spans="1:88" ht="15" customHeight="1">
      <c r="A418" s="136"/>
      <c r="B418" s="310"/>
      <c r="C418" s="256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AE418" s="276"/>
      <c r="BH418" s="38"/>
      <c r="BI418" s="38"/>
      <c r="BJ418" s="38"/>
      <c r="BK418" s="38"/>
      <c r="BL418" s="38"/>
    </row>
    <row r="419" spans="1:88" ht="15" customHeight="1">
      <c r="A419" s="136"/>
      <c r="B419" s="224" t="s">
        <v>343</v>
      </c>
      <c r="C419" s="131" t="s">
        <v>344</v>
      </c>
      <c r="D419" s="85"/>
      <c r="E419" s="85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85"/>
      <c r="AE419" s="276"/>
      <c r="BH419" s="38"/>
      <c r="BI419" s="38"/>
      <c r="BJ419" s="38"/>
      <c r="BK419" s="38"/>
      <c r="BL419" s="38"/>
    </row>
    <row r="420" spans="1:88" ht="15" customHeight="1">
      <c r="A420" s="136"/>
      <c r="B420" s="224"/>
      <c r="C420" s="131"/>
      <c r="D420" s="85"/>
      <c r="E420" s="85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85"/>
      <c r="AE420" s="276"/>
      <c r="BH420" s="38"/>
      <c r="BI420" s="38"/>
      <c r="BJ420" s="38"/>
      <c r="BK420" s="38"/>
      <c r="BL420" s="38"/>
    </row>
    <row r="421" spans="1:88" ht="15" customHeight="1">
      <c r="A421" s="136"/>
      <c r="B421" s="224"/>
      <c r="C421" s="130" t="s">
        <v>345</v>
      </c>
      <c r="D421" s="85"/>
      <c r="E421" s="85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85"/>
      <c r="AE421" s="276"/>
      <c r="BH421" s="38"/>
      <c r="BI421" s="38"/>
      <c r="BJ421" s="38"/>
      <c r="BK421" s="38"/>
      <c r="BL421" s="38"/>
    </row>
    <row r="422" spans="1:88" s="5" customFormat="1" ht="15" customHeight="1">
      <c r="A422" s="136"/>
      <c r="B422" s="224"/>
      <c r="C422" s="1392" t="s">
        <v>346</v>
      </c>
      <c r="D422" s="1411" t="s">
        <v>90</v>
      </c>
      <c r="E422" s="1511" t="s">
        <v>347</v>
      </c>
      <c r="F422" s="1511"/>
      <c r="G422" s="1511"/>
      <c r="H422" s="1511"/>
      <c r="I422" s="85"/>
      <c r="J422" s="132"/>
      <c r="K422" s="132"/>
      <c r="L422" s="132"/>
      <c r="M422" s="132"/>
      <c r="N422" s="132"/>
      <c r="O422" s="1392" t="s">
        <v>348</v>
      </c>
      <c r="P422" s="1411" t="s">
        <v>90</v>
      </c>
      <c r="Q422" s="1511" t="s">
        <v>349</v>
      </c>
      <c r="R422" s="1511"/>
      <c r="S422" s="1511"/>
      <c r="T422" s="1511"/>
      <c r="U422" s="1511"/>
      <c r="V422" s="132"/>
      <c r="W422" s="132"/>
      <c r="X422" s="132"/>
      <c r="Y422" s="132"/>
      <c r="Z422" s="85"/>
      <c r="AA422" s="3"/>
      <c r="AB422" s="3"/>
      <c r="AC422" s="3"/>
      <c r="AD422" s="3"/>
      <c r="AE422" s="276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Z422" s="3"/>
      <c r="BA422" s="3"/>
      <c r="BB422" s="3"/>
      <c r="BC422" s="3"/>
      <c r="BD422" s="3"/>
      <c r="BE422" s="3"/>
      <c r="BF422" s="3"/>
      <c r="BG422" s="3"/>
      <c r="BH422" s="38"/>
      <c r="BI422" s="38"/>
      <c r="BJ422" s="38"/>
      <c r="BK422" s="38"/>
      <c r="BL422" s="38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</row>
    <row r="423" spans="1:88" s="5" customFormat="1" ht="15" customHeight="1">
      <c r="A423" s="136"/>
      <c r="B423" s="224"/>
      <c r="C423" s="1392"/>
      <c r="D423" s="1316"/>
      <c r="E423" s="1571" t="s">
        <v>350</v>
      </c>
      <c r="F423" s="1571"/>
      <c r="G423" s="1571"/>
      <c r="H423" s="1571"/>
      <c r="I423" s="132"/>
      <c r="J423" s="132"/>
      <c r="K423" s="132"/>
      <c r="L423" s="132"/>
      <c r="M423" s="132"/>
      <c r="N423" s="132"/>
      <c r="O423" s="1392"/>
      <c r="P423" s="1316"/>
      <c r="Q423" s="312" t="s">
        <v>351</v>
      </c>
      <c r="R423" s="313"/>
      <c r="S423" s="313"/>
      <c r="T423" s="313"/>
      <c r="U423" s="313"/>
      <c r="V423" s="132"/>
      <c r="W423" s="132"/>
      <c r="X423" s="132"/>
      <c r="Y423" s="132"/>
      <c r="Z423" s="85"/>
      <c r="AA423" s="3"/>
      <c r="AB423" s="3"/>
      <c r="AC423" s="3"/>
      <c r="AD423" s="3"/>
      <c r="AE423" s="276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Z423" s="3"/>
      <c r="BA423" s="3"/>
      <c r="BB423" s="3"/>
      <c r="BC423" s="3"/>
      <c r="BD423" s="3"/>
      <c r="BE423" s="3"/>
      <c r="BF423" s="3"/>
      <c r="BG423" s="3"/>
      <c r="BH423" s="38"/>
      <c r="BI423" s="38"/>
      <c r="BJ423" s="38"/>
      <c r="BK423" s="38"/>
      <c r="BL423" s="38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</row>
    <row r="424" spans="1:88" s="5" customFormat="1" ht="15" customHeight="1">
      <c r="A424" s="136"/>
      <c r="B424" s="310"/>
      <c r="C424" s="256"/>
      <c r="D424" s="3"/>
      <c r="E424" s="3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3"/>
      <c r="AA424" s="3"/>
      <c r="AB424" s="3"/>
      <c r="AC424" s="3"/>
      <c r="AD424" s="3"/>
      <c r="AE424" s="276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Z424" s="3"/>
      <c r="BA424" s="3"/>
      <c r="BB424" s="3"/>
      <c r="BC424" s="3"/>
      <c r="BD424" s="3"/>
      <c r="BE424" s="3"/>
      <c r="BF424" s="3"/>
      <c r="BG424" s="3"/>
      <c r="BH424" s="38"/>
      <c r="BI424" s="38"/>
      <c r="BJ424" s="38"/>
      <c r="BK424" s="38"/>
      <c r="BL424" s="38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</row>
    <row r="425" spans="1:88" s="5" customFormat="1" ht="28.5" customHeight="1">
      <c r="A425" s="136"/>
      <c r="B425" s="310"/>
      <c r="C425" s="1398" t="s">
        <v>352</v>
      </c>
      <c r="D425" s="1398"/>
      <c r="E425" s="1398"/>
      <c r="F425" s="1398"/>
      <c r="G425" s="1660" t="s">
        <v>353</v>
      </c>
      <c r="H425" s="1660"/>
      <c r="I425" s="1660"/>
      <c r="J425" s="1660" t="s">
        <v>354</v>
      </c>
      <c r="K425" s="1660"/>
      <c r="L425" s="1660"/>
      <c r="M425" s="1660"/>
      <c r="N425" s="1660"/>
      <c r="O425" s="1660"/>
      <c r="P425" s="1660" t="s">
        <v>355</v>
      </c>
      <c r="Q425" s="1660"/>
      <c r="R425" s="1660"/>
      <c r="S425" s="1661" t="s">
        <v>356</v>
      </c>
      <c r="T425" s="1661"/>
      <c r="U425" s="1661"/>
      <c r="V425" s="1661"/>
      <c r="W425" s="1661"/>
      <c r="X425" s="1661"/>
      <c r="Y425" s="252"/>
      <c r="Z425" s="3"/>
      <c r="AA425" s="3"/>
      <c r="AB425" s="3"/>
      <c r="AC425" s="3"/>
      <c r="AD425" s="3"/>
      <c r="AE425" s="276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Z425" s="3"/>
      <c r="BA425" s="3"/>
      <c r="BB425" s="3"/>
      <c r="BC425" s="3"/>
      <c r="BD425" s="3"/>
      <c r="BE425" s="3"/>
      <c r="BF425" s="3"/>
      <c r="BG425" s="3"/>
      <c r="BH425" s="38"/>
      <c r="BI425" s="38"/>
      <c r="BJ425" s="38"/>
      <c r="BK425" s="38"/>
      <c r="BL425" s="38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</row>
    <row r="426" spans="1:88" s="5" customFormat="1" ht="28.5" customHeight="1">
      <c r="A426" s="136"/>
      <c r="B426" s="310"/>
      <c r="C426" s="1662" t="s">
        <v>173</v>
      </c>
      <c r="D426" s="1662"/>
      <c r="E426" s="1662"/>
      <c r="F426" s="1662"/>
      <c r="G426" s="1552">
        <f>+Q96</f>
        <v>500</v>
      </c>
      <c r="H426" s="1394"/>
      <c r="I426" s="1394"/>
      <c r="J426" s="1397">
        <v>200000</v>
      </c>
      <c r="K426" s="1397"/>
      <c r="L426" s="1397"/>
      <c r="M426" s="1397"/>
      <c r="N426" s="1397"/>
      <c r="O426" s="1397"/>
      <c r="P426" s="1396">
        <v>0.3</v>
      </c>
      <c r="Q426" s="1396"/>
      <c r="R426" s="1396"/>
      <c r="S426" s="1394">
        <f>+K321-N321</f>
        <v>150</v>
      </c>
      <c r="T426" s="1394"/>
      <c r="U426" s="1394"/>
      <c r="V426" s="1394"/>
      <c r="W426" s="1394"/>
      <c r="X426" s="1394"/>
      <c r="Y426" s="252"/>
      <c r="Z426" s="3"/>
      <c r="AA426" s="3"/>
      <c r="AB426" s="3"/>
      <c r="AC426" s="3"/>
      <c r="AD426" s="3"/>
      <c r="AE426" s="276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Z426" s="3"/>
      <c r="BA426" s="3"/>
      <c r="BB426" s="3"/>
      <c r="BC426" s="3"/>
      <c r="BD426" s="3"/>
      <c r="BE426" s="3"/>
      <c r="BF426" s="3"/>
      <c r="BG426" s="3"/>
      <c r="BH426" s="38"/>
      <c r="BI426" s="38"/>
      <c r="BJ426" s="38"/>
      <c r="BK426" s="38"/>
      <c r="BL426" s="38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</row>
    <row r="427" spans="1:88" s="5" customFormat="1" ht="15" customHeight="1">
      <c r="A427" s="136"/>
      <c r="B427" s="310"/>
      <c r="C427" s="314"/>
      <c r="D427" s="314"/>
      <c r="E427" s="314"/>
      <c r="F427" s="314"/>
      <c r="G427" s="137"/>
      <c r="H427" s="137"/>
      <c r="I427" s="137"/>
      <c r="J427" s="315"/>
      <c r="K427" s="315"/>
      <c r="L427" s="315"/>
      <c r="M427" s="315"/>
      <c r="N427" s="315"/>
      <c r="O427" s="315"/>
      <c r="P427" s="258"/>
      <c r="Q427" s="258"/>
      <c r="R427" s="258"/>
      <c r="S427" s="137"/>
      <c r="T427" s="137"/>
      <c r="U427" s="137"/>
      <c r="V427" s="137"/>
      <c r="W427" s="137"/>
      <c r="X427" s="137"/>
      <c r="Y427" s="252"/>
      <c r="Z427" s="3"/>
      <c r="AA427" s="3"/>
      <c r="AB427" s="3"/>
      <c r="AC427" s="3"/>
      <c r="AD427" s="3"/>
      <c r="AE427" s="276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Z427" s="3"/>
      <c r="BA427" s="3"/>
      <c r="BB427" s="3"/>
      <c r="BC427" s="3"/>
      <c r="BD427" s="3"/>
      <c r="BE427" s="3"/>
      <c r="BF427" s="3"/>
      <c r="BG427" s="3"/>
      <c r="BH427" s="38"/>
      <c r="BI427" s="38"/>
      <c r="BJ427" s="38"/>
      <c r="BK427" s="38"/>
      <c r="BL427" s="38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</row>
    <row r="428" spans="1:88" s="5" customFormat="1" ht="15" customHeight="1">
      <c r="A428" s="136"/>
      <c r="B428" s="224"/>
      <c r="C428" s="1392" t="s">
        <v>348</v>
      </c>
      <c r="D428" s="1411" t="s">
        <v>90</v>
      </c>
      <c r="E428" s="1566" t="s">
        <v>349</v>
      </c>
      <c r="F428" s="1566"/>
      <c r="G428" s="1566"/>
      <c r="H428" s="1566"/>
      <c r="I428" s="1566"/>
      <c r="J428" s="1411" t="s">
        <v>90</v>
      </c>
      <c r="K428" s="316"/>
      <c r="L428" s="1413">
        <f>+J426</f>
        <v>200000</v>
      </c>
      <c r="M428" s="1413"/>
      <c r="N428" s="1413"/>
      <c r="O428" s="317" t="s">
        <v>343</v>
      </c>
      <c r="P428" s="318" t="s">
        <v>357</v>
      </c>
      <c r="Q428" s="319">
        <v>1</v>
      </c>
      <c r="R428" s="320" t="s">
        <v>358</v>
      </c>
      <c r="S428" s="321">
        <f>+P426</f>
        <v>0.3</v>
      </c>
      <c r="T428" s="319" t="s">
        <v>328</v>
      </c>
      <c r="U428" s="1411" t="s">
        <v>90</v>
      </c>
      <c r="V428" s="1659">
        <f>ROUND(L428*(1-P426)/((1+P426)*(1-2*P426)),0)</f>
        <v>269231</v>
      </c>
      <c r="W428" s="1659"/>
      <c r="X428" s="1659"/>
      <c r="Y428" s="1659"/>
      <c r="Z428" s="322"/>
      <c r="AA428" s="3"/>
      <c r="AB428" s="3"/>
      <c r="AC428" s="27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X428" s="3"/>
      <c r="AY428" s="3"/>
      <c r="AZ428" s="3"/>
      <c r="BA428" s="3"/>
      <c r="BB428" s="3"/>
      <c r="BC428" s="3"/>
      <c r="BD428" s="3"/>
      <c r="BE428" s="3"/>
      <c r="BF428" s="38"/>
      <c r="BG428" s="38"/>
      <c r="BH428" s="38"/>
      <c r="BI428" s="38"/>
      <c r="BJ428" s="38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</row>
    <row r="429" spans="1:88" s="5" customFormat="1" ht="15" customHeight="1">
      <c r="A429" s="136"/>
      <c r="B429" s="224"/>
      <c r="C429" s="1392"/>
      <c r="D429" s="1316"/>
      <c r="E429" s="323" t="s">
        <v>351</v>
      </c>
      <c r="F429" s="324"/>
      <c r="G429" s="324"/>
      <c r="H429" s="324"/>
      <c r="I429" s="324"/>
      <c r="J429" s="1316"/>
      <c r="K429" s="325" t="s">
        <v>357</v>
      </c>
      <c r="L429" s="325">
        <v>1</v>
      </c>
      <c r="M429" s="326" t="s">
        <v>248</v>
      </c>
      <c r="N429" s="285">
        <f>+P426</f>
        <v>0.3</v>
      </c>
      <c r="O429" s="285" t="s">
        <v>328</v>
      </c>
      <c r="P429" s="285" t="s">
        <v>359</v>
      </c>
      <c r="Q429" s="135">
        <v>1</v>
      </c>
      <c r="R429" s="327" t="s">
        <v>358</v>
      </c>
      <c r="S429" s="135">
        <f>2*P426</f>
        <v>0.6</v>
      </c>
      <c r="T429" s="135" t="s">
        <v>328</v>
      </c>
      <c r="U429" s="1316"/>
      <c r="V429" s="1659"/>
      <c r="W429" s="1659"/>
      <c r="X429" s="1659"/>
      <c r="Y429" s="1659"/>
      <c r="Z429" s="322"/>
      <c r="AA429" s="3"/>
      <c r="AB429" s="3"/>
      <c r="AC429" s="27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X429" s="3"/>
      <c r="AY429" s="3"/>
      <c r="AZ429" s="3"/>
      <c r="BA429" s="3"/>
      <c r="BB429" s="3"/>
      <c r="BC429" s="3"/>
      <c r="BD429" s="3"/>
      <c r="BE429" s="3"/>
      <c r="BF429" s="38"/>
      <c r="BG429" s="38"/>
      <c r="BH429" s="38"/>
      <c r="BI429" s="38"/>
      <c r="BJ429" s="38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</row>
    <row r="430" spans="1:88" s="5" customFormat="1" ht="15" customHeight="1">
      <c r="A430" s="136"/>
      <c r="B430" s="224"/>
      <c r="C430" s="311"/>
      <c r="D430" s="311"/>
      <c r="E430" s="311"/>
      <c r="F430" s="311"/>
      <c r="G430" s="135"/>
      <c r="H430" s="135"/>
      <c r="I430" s="135"/>
      <c r="J430" s="325"/>
      <c r="K430" s="325"/>
      <c r="L430" s="325"/>
      <c r="M430" s="325"/>
      <c r="N430" s="325"/>
      <c r="O430" s="325"/>
      <c r="P430" s="285"/>
      <c r="Q430" s="285"/>
      <c r="R430" s="285"/>
      <c r="S430" s="135"/>
      <c r="T430" s="135"/>
      <c r="U430" s="135"/>
      <c r="V430" s="135"/>
      <c r="W430" s="135"/>
      <c r="X430" s="135"/>
      <c r="Y430" s="132"/>
      <c r="Z430" s="85"/>
      <c r="AA430" s="3"/>
      <c r="AB430" s="3"/>
      <c r="AC430" s="3"/>
      <c r="AD430" s="3"/>
      <c r="AE430" s="276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Z430" s="3"/>
      <c r="BA430" s="3"/>
      <c r="BB430" s="3"/>
      <c r="BC430" s="3"/>
      <c r="BD430" s="3"/>
      <c r="BE430" s="3"/>
      <c r="BF430" s="3"/>
      <c r="BG430" s="3"/>
      <c r="BH430" s="38"/>
      <c r="BI430" s="38"/>
      <c r="BJ430" s="38"/>
      <c r="BK430" s="38"/>
      <c r="BL430" s="38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</row>
    <row r="431" spans="1:88" s="5" customFormat="1" ht="15" customHeight="1">
      <c r="A431" s="136"/>
      <c r="B431" s="224"/>
      <c r="C431" s="1392" t="s">
        <v>346</v>
      </c>
      <c r="D431" s="1411" t="s">
        <v>90</v>
      </c>
      <c r="E431" s="1511" t="s">
        <v>347</v>
      </c>
      <c r="F431" s="1511"/>
      <c r="G431" s="1511"/>
      <c r="H431" s="1511"/>
      <c r="I431" s="1411" t="s">
        <v>90</v>
      </c>
      <c r="J431" s="325"/>
      <c r="K431" s="1570">
        <f>+S426</f>
        <v>150</v>
      </c>
      <c r="L431" s="1570"/>
      <c r="M431" s="1570"/>
      <c r="N431" s="316" t="s">
        <v>343</v>
      </c>
      <c r="O431" s="1413">
        <f>+G426</f>
        <v>500</v>
      </c>
      <c r="P431" s="1413"/>
      <c r="Q431" s="285"/>
      <c r="R431" s="1411" t="s">
        <v>90</v>
      </c>
      <c r="S431" s="135"/>
      <c r="T431" s="1422">
        <f>ROUND((K431*O431)/K432,2)</f>
        <v>0.28000000000000003</v>
      </c>
      <c r="U431" s="1422"/>
      <c r="V431" s="1422" t="s">
        <v>360</v>
      </c>
      <c r="W431" s="1422"/>
      <c r="X431" s="135"/>
      <c r="Y431" s="132"/>
      <c r="Z431" s="85"/>
      <c r="AA431" s="3"/>
      <c r="AB431" s="3"/>
      <c r="AC431" s="3"/>
      <c r="AD431" s="3"/>
      <c r="AE431" s="276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Z431" s="3"/>
      <c r="BA431" s="3"/>
      <c r="BB431" s="3"/>
      <c r="BC431" s="3"/>
      <c r="BD431" s="3"/>
      <c r="BE431" s="3"/>
      <c r="BF431" s="3"/>
      <c r="BG431" s="3"/>
      <c r="BH431" s="38"/>
      <c r="BI431" s="38"/>
      <c r="BJ431" s="38"/>
      <c r="BK431" s="38"/>
      <c r="BL431" s="38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</row>
    <row r="432" spans="1:88" s="5" customFormat="1" ht="15" customHeight="1">
      <c r="A432" s="136"/>
      <c r="B432" s="224"/>
      <c r="C432" s="1392"/>
      <c r="D432" s="1316"/>
      <c r="E432" s="1571" t="s">
        <v>350</v>
      </c>
      <c r="F432" s="1571"/>
      <c r="G432" s="1571"/>
      <c r="H432" s="1571"/>
      <c r="I432" s="1316"/>
      <c r="J432" s="132"/>
      <c r="K432" s="1658">
        <f>+V428</f>
        <v>269231</v>
      </c>
      <c r="L432" s="1422"/>
      <c r="M432" s="1422"/>
      <c r="N432" s="1422"/>
      <c r="O432" s="1422"/>
      <c r="P432" s="1422"/>
      <c r="Q432" s="132"/>
      <c r="R432" s="1316"/>
      <c r="S432" s="132"/>
      <c r="T432" s="1422"/>
      <c r="U432" s="1422"/>
      <c r="V432" s="1422"/>
      <c r="W432" s="1422"/>
      <c r="X432" s="132"/>
      <c r="Y432" s="132"/>
      <c r="Z432" s="85"/>
      <c r="AA432" s="3"/>
      <c r="AB432" s="3"/>
      <c r="AC432" s="3"/>
      <c r="AD432" s="3"/>
      <c r="AE432" s="276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Z432" s="3"/>
      <c r="BA432" s="3"/>
      <c r="BB432" s="3"/>
      <c r="BC432" s="3"/>
      <c r="BD432" s="3"/>
      <c r="BE432" s="3"/>
      <c r="BF432" s="3"/>
      <c r="BG432" s="3"/>
      <c r="BH432" s="38"/>
      <c r="BI432" s="38"/>
      <c r="BJ432" s="38"/>
      <c r="BK432" s="38"/>
      <c r="BL432" s="38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</row>
    <row r="433" spans="1:87" s="5" customFormat="1" ht="15" customHeight="1">
      <c r="A433" s="136"/>
      <c r="B433" s="224"/>
      <c r="C433" s="131"/>
      <c r="D433" s="85"/>
      <c r="E433" s="85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3"/>
      <c r="AB433" s="3"/>
      <c r="AC433" s="3"/>
      <c r="AD433" s="3"/>
      <c r="AE433" s="276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Z433" s="3"/>
      <c r="BA433" s="3"/>
      <c r="BB433" s="3"/>
      <c r="BC433" s="3"/>
      <c r="BD433" s="3"/>
      <c r="BE433" s="3"/>
      <c r="BF433" s="3"/>
      <c r="BG433" s="3"/>
      <c r="BH433" s="38"/>
      <c r="BI433" s="38"/>
      <c r="BJ433" s="38"/>
      <c r="BK433" s="38"/>
      <c r="BL433" s="38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</row>
    <row r="434" spans="1:87" ht="15" customHeight="1">
      <c r="A434" s="136"/>
      <c r="B434" s="224"/>
      <c r="C434" s="130" t="s">
        <v>361</v>
      </c>
      <c r="D434" s="85"/>
      <c r="E434" s="85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E434" s="276"/>
      <c r="BH434" s="38"/>
      <c r="BI434" s="38"/>
      <c r="BJ434" s="38"/>
      <c r="BK434" s="38"/>
      <c r="BL434" s="38"/>
    </row>
    <row r="435" spans="1:87" ht="8.25" customHeight="1">
      <c r="A435" s="136"/>
      <c r="B435" s="224"/>
      <c r="C435" s="130"/>
      <c r="D435" s="85"/>
      <c r="E435" s="85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E435" s="276"/>
      <c r="BH435" s="38"/>
      <c r="BI435" s="38"/>
      <c r="BJ435" s="38"/>
      <c r="BK435" s="38"/>
      <c r="BL435" s="38"/>
    </row>
    <row r="436" spans="1:87" ht="15" customHeight="1">
      <c r="A436" s="136"/>
      <c r="B436" s="224"/>
      <c r="C436" s="1067" t="s">
        <v>362</v>
      </c>
      <c r="D436" s="1067" t="s">
        <v>316</v>
      </c>
      <c r="E436" s="1067" t="s">
        <v>363</v>
      </c>
      <c r="F436" s="1067" t="s">
        <v>343</v>
      </c>
      <c r="G436" s="1067" t="s">
        <v>271</v>
      </c>
      <c r="H436" s="1067" t="s">
        <v>343</v>
      </c>
      <c r="I436" s="1067" t="s">
        <v>364</v>
      </c>
      <c r="J436" s="1067" t="s">
        <v>343</v>
      </c>
      <c r="K436" s="1067" t="s">
        <v>365</v>
      </c>
      <c r="L436" s="328" t="s">
        <v>366</v>
      </c>
      <c r="M436" s="1067" t="s">
        <v>343</v>
      </c>
      <c r="N436" s="1067" t="s">
        <v>367</v>
      </c>
      <c r="O436" s="1067"/>
      <c r="P436" s="296"/>
      <c r="Q436" s="297"/>
      <c r="R436" s="296"/>
      <c r="S436" s="296"/>
      <c r="T436" s="296"/>
      <c r="U436" s="125"/>
      <c r="V436" s="125"/>
      <c r="W436" s="132"/>
      <c r="X436" s="132"/>
      <c r="Y436" s="132"/>
      <c r="Z436" s="85"/>
      <c r="AE436" s="276"/>
      <c r="BH436" s="38"/>
      <c r="BI436" s="38"/>
      <c r="BJ436" s="38"/>
      <c r="BK436" s="38"/>
      <c r="BL436" s="38"/>
    </row>
    <row r="437" spans="1:87" ht="15" customHeight="1">
      <c r="A437" s="136"/>
      <c r="B437" s="224"/>
      <c r="C437" s="1067"/>
      <c r="D437" s="1067"/>
      <c r="E437" s="1067"/>
      <c r="F437" s="1067"/>
      <c r="G437" s="1067"/>
      <c r="H437" s="1067"/>
      <c r="I437" s="1067"/>
      <c r="J437" s="1067"/>
      <c r="K437" s="1067"/>
      <c r="L437" s="312" t="s">
        <v>368</v>
      </c>
      <c r="M437" s="1067"/>
      <c r="N437" s="1067"/>
      <c r="O437" s="1067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E437" s="276"/>
      <c r="BH437" s="38"/>
      <c r="BI437" s="38"/>
      <c r="BJ437" s="38"/>
      <c r="BK437" s="38"/>
      <c r="BL437" s="38"/>
    </row>
    <row r="438" spans="1:87" ht="15" customHeight="1">
      <c r="A438" s="136"/>
      <c r="B438" s="136"/>
      <c r="E438" s="258"/>
      <c r="F438" s="258"/>
      <c r="G438" s="258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AE438" s="276"/>
      <c r="BH438" s="38"/>
      <c r="BI438" s="38"/>
      <c r="BJ438" s="38"/>
      <c r="BK438" s="38"/>
      <c r="BL438" s="38"/>
    </row>
    <row r="439" spans="1:87" ht="27" customHeight="1">
      <c r="A439" s="136"/>
      <c r="B439" s="1654" t="s">
        <v>284</v>
      </c>
      <c r="C439" s="1517"/>
      <c r="D439" s="1655" t="s">
        <v>285</v>
      </c>
      <c r="E439" s="1656"/>
      <c r="F439" s="1656"/>
      <c r="G439" s="1657"/>
      <c r="H439" s="1084" t="s">
        <v>232</v>
      </c>
      <c r="I439" s="1084"/>
      <c r="J439" s="1084"/>
      <c r="K439" s="1084" t="s">
        <v>233</v>
      </c>
      <c r="L439" s="1084"/>
      <c r="M439" s="1084"/>
      <c r="N439" s="1084" t="s">
        <v>286</v>
      </c>
      <c r="O439" s="1084"/>
      <c r="P439" s="1084"/>
      <c r="Q439" s="1084" t="s">
        <v>287</v>
      </c>
      <c r="R439" s="1084"/>
      <c r="S439" s="1084"/>
      <c r="T439" s="1311" t="s">
        <v>288</v>
      </c>
      <c r="U439" s="1312"/>
      <c r="V439" s="1313"/>
      <c r="W439" s="1311" t="s">
        <v>289</v>
      </c>
      <c r="X439" s="1312"/>
      <c r="Y439" s="1312"/>
      <c r="AD439" s="145" t="s">
        <v>369</v>
      </c>
      <c r="AE439" s="329" t="s">
        <v>370</v>
      </c>
      <c r="BH439" s="38"/>
      <c r="BI439" s="38"/>
      <c r="BJ439" s="38"/>
      <c r="BK439" s="38"/>
      <c r="BL439" s="38"/>
    </row>
    <row r="440" spans="1:87" s="5" customFormat="1" ht="27" customHeight="1">
      <c r="A440" s="136"/>
      <c r="B440" s="1237">
        <f>$G$5</f>
        <v>8.4</v>
      </c>
      <c r="C440" s="1238"/>
      <c r="D440" s="1251">
        <f>$K$5</f>
        <v>8.8000000000000007</v>
      </c>
      <c r="E440" s="1252"/>
      <c r="F440" s="1252"/>
      <c r="G440" s="1253"/>
      <c r="H440" s="1332">
        <f>+O5+Q96/1000</f>
        <v>7.9</v>
      </c>
      <c r="I440" s="1332"/>
      <c r="J440" s="1332"/>
      <c r="K440" s="1332">
        <f>+S5</f>
        <v>150</v>
      </c>
      <c r="L440" s="1332"/>
      <c r="M440" s="1332"/>
      <c r="N440" s="1419">
        <f>+R478</f>
        <v>134</v>
      </c>
      <c r="O440" s="1332"/>
      <c r="P440" s="1332"/>
      <c r="Q440" s="1332">
        <f>ROUND(+H440*AK155,1)</f>
        <v>130.4</v>
      </c>
      <c r="R440" s="1332"/>
      <c r="S440" s="1332"/>
      <c r="T440" s="1333">
        <f>+IF(Q440/(N440-Q440)&gt;1,0.5,1-0.5*(Q440/(N440-Q440)))</f>
        <v>0.5</v>
      </c>
      <c r="U440" s="1333"/>
      <c r="V440" s="1333"/>
      <c r="W440" s="1308">
        <f>+U486</f>
        <v>1.3397940008672038</v>
      </c>
      <c r="X440" s="1309"/>
      <c r="Y440" s="1309"/>
      <c r="Z440" s="3"/>
      <c r="AA440" s="3"/>
      <c r="AB440" s="3"/>
      <c r="AC440" s="3"/>
      <c r="AD440" s="3"/>
      <c r="AE440" s="276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Z440" s="3"/>
      <c r="BA440" s="3"/>
      <c r="BB440" s="3"/>
      <c r="BC440" s="3"/>
      <c r="BD440" s="3"/>
      <c r="BE440" s="3"/>
      <c r="BF440" s="3"/>
      <c r="BG440" s="3"/>
      <c r="BH440" s="38"/>
      <c r="BI440" s="38"/>
      <c r="BJ440" s="38"/>
      <c r="BK440" s="38"/>
      <c r="BL440" s="38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F440" s="3"/>
      <c r="CG440" s="3"/>
      <c r="CH440" s="3"/>
      <c r="CI440" s="3"/>
    </row>
    <row r="441" spans="1:87" s="5" customFormat="1" ht="15" customHeight="1" thickBot="1">
      <c r="A441" s="136"/>
      <c r="B441" s="159"/>
      <c r="C441" s="159"/>
      <c r="D441" s="159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258"/>
      <c r="R441" s="258"/>
      <c r="S441" s="258"/>
      <c r="T441" s="258"/>
      <c r="U441" s="258"/>
      <c r="V441" s="258"/>
      <c r="W441" s="258"/>
      <c r="X441" s="252"/>
      <c r="Y441" s="252"/>
      <c r="Z441" s="3"/>
      <c r="AA441" s="3"/>
      <c r="AB441" s="3"/>
      <c r="AC441" s="3"/>
      <c r="AD441" s="11"/>
      <c r="AE441" s="12"/>
      <c r="AF441" s="13"/>
      <c r="AG441" s="1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14" t="s">
        <v>11</v>
      </c>
      <c r="AT441" s="13"/>
      <c r="AU441" s="13"/>
      <c r="AV441" s="13"/>
      <c r="AW441" s="3"/>
      <c r="AZ441" s="3"/>
      <c r="BA441" s="3"/>
      <c r="BB441" s="3"/>
      <c r="BC441" s="3"/>
      <c r="BD441" s="3"/>
      <c r="BE441" s="3"/>
      <c r="BF441" s="3"/>
      <c r="BG441" s="3"/>
      <c r="BH441" s="38"/>
      <c r="BI441" s="38"/>
      <c r="BJ441" s="38"/>
      <c r="BK441" s="38"/>
      <c r="BL441" s="38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F441" s="3"/>
      <c r="CG441" s="3"/>
      <c r="CH441" s="3"/>
      <c r="CI441" s="3"/>
    </row>
    <row r="442" spans="1:87" s="5" customFormat="1" ht="15" customHeight="1" thickTop="1">
      <c r="A442" s="136"/>
      <c r="B442" s="1652" t="s">
        <v>290</v>
      </c>
      <c r="C442" s="1351"/>
      <c r="D442" s="1351"/>
      <c r="E442" s="1349" t="s">
        <v>49</v>
      </c>
      <c r="F442" s="1349"/>
      <c r="G442" s="1351" t="s">
        <v>291</v>
      </c>
      <c r="H442" s="1351"/>
      <c r="I442" s="1351"/>
      <c r="J442" s="1349" t="s">
        <v>55</v>
      </c>
      <c r="K442" s="1349"/>
      <c r="L442" s="1349"/>
      <c r="M442" s="1349" t="s">
        <v>292</v>
      </c>
      <c r="N442" s="1349"/>
      <c r="O442" s="1353" t="s">
        <v>371</v>
      </c>
      <c r="P442" s="1353"/>
      <c r="Q442" s="1354"/>
      <c r="R442" s="3"/>
      <c r="S442" s="259"/>
      <c r="T442" s="259"/>
      <c r="U442" s="259"/>
      <c r="V442" s="259"/>
      <c r="W442" s="3"/>
      <c r="X442" s="259"/>
      <c r="Y442" s="259"/>
      <c r="Z442" s="259"/>
      <c r="AA442" s="3"/>
      <c r="AB442" s="3"/>
      <c r="AC442" s="3"/>
      <c r="AD442" s="958" t="s">
        <v>19</v>
      </c>
      <c r="AE442" s="959"/>
      <c r="AF442" s="960"/>
      <c r="AG442" s="1365" t="s">
        <v>20</v>
      </c>
      <c r="AH442" s="1366"/>
      <c r="AI442" s="18" t="s">
        <v>21</v>
      </c>
      <c r="AJ442" s="18" t="s">
        <v>283</v>
      </c>
      <c r="AK442" s="928" t="s">
        <v>22</v>
      </c>
      <c r="AL442" s="18" t="s">
        <v>23</v>
      </c>
      <c r="AM442" s="1337" t="s">
        <v>24</v>
      </c>
      <c r="AN442" s="18" t="s">
        <v>23</v>
      </c>
      <c r="AO442" s="1337" t="s">
        <v>24</v>
      </c>
      <c r="AP442" s="11"/>
      <c r="AQ442" s="1423" t="s">
        <v>25</v>
      </c>
      <c r="AR442" s="330"/>
      <c r="AS442" s="1423" t="s">
        <v>26</v>
      </c>
      <c r="AT442" s="1423"/>
      <c r="AU442" s="1423" t="s">
        <v>27</v>
      </c>
      <c r="AV442" s="1423"/>
      <c r="AW442" s="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F442" s="3"/>
      <c r="CG442" s="3"/>
      <c r="CH442" s="3"/>
      <c r="CI442" s="3"/>
    </row>
    <row r="443" spans="1:87" s="5" customFormat="1" ht="15" customHeight="1" thickBot="1">
      <c r="A443" s="136"/>
      <c r="B443" s="1653"/>
      <c r="C443" s="1352"/>
      <c r="D443" s="1352"/>
      <c r="E443" s="1350"/>
      <c r="F443" s="1350"/>
      <c r="G443" s="1352"/>
      <c r="H443" s="1352"/>
      <c r="I443" s="1352"/>
      <c r="J443" s="1350"/>
      <c r="K443" s="1350"/>
      <c r="L443" s="1350"/>
      <c r="M443" s="1350"/>
      <c r="N443" s="1350"/>
      <c r="O443" s="1355"/>
      <c r="P443" s="1355"/>
      <c r="Q443" s="1356"/>
      <c r="R443" s="3"/>
      <c r="S443" s="259"/>
      <c r="T443" s="259"/>
      <c r="U443" s="259"/>
      <c r="V443" s="259"/>
      <c r="W443" s="3"/>
      <c r="X443" s="259"/>
      <c r="Y443" s="259"/>
      <c r="Z443" s="259"/>
      <c r="AA443" s="3"/>
      <c r="AB443" s="3"/>
      <c r="AC443" s="3"/>
      <c r="AD443" s="1645"/>
      <c r="AE443" s="1646"/>
      <c r="AF443" s="1647"/>
      <c r="AG443" s="1648"/>
      <c r="AH443" s="1649"/>
      <c r="AI443" s="22" t="s">
        <v>30</v>
      </c>
      <c r="AJ443" s="22" t="s">
        <v>30</v>
      </c>
      <c r="AK443" s="1650"/>
      <c r="AL443" s="22" t="s">
        <v>31</v>
      </c>
      <c r="AM443" s="1651"/>
      <c r="AN443" s="22" t="s">
        <v>32</v>
      </c>
      <c r="AO443" s="1651"/>
      <c r="AP443" s="11"/>
      <c r="AQ443" s="1423"/>
      <c r="AR443" s="330"/>
      <c r="AS443" s="1423"/>
      <c r="AT443" s="1423"/>
      <c r="AU443" s="1423"/>
      <c r="AV443" s="1423"/>
      <c r="AW443" s="3"/>
      <c r="AX443" s="20"/>
      <c r="AY443" s="20"/>
      <c r="AZ443" s="20"/>
      <c r="BA443" s="20"/>
      <c r="BB443" s="20"/>
      <c r="BC443" s="21"/>
      <c r="BD443" s="21"/>
      <c r="BE443" s="21"/>
      <c r="BF443" s="21"/>
      <c r="BG443" s="21"/>
      <c r="BH443" s="20"/>
      <c r="BI443" s="20"/>
      <c r="BJ443" s="20"/>
      <c r="BK443" s="20"/>
      <c r="BL443" s="20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F443" s="3"/>
      <c r="CG443" s="3"/>
      <c r="CH443" s="3"/>
      <c r="CI443" s="3"/>
    </row>
    <row r="444" spans="1:87" ht="15" customHeight="1" thickTop="1">
      <c r="A444" s="136"/>
      <c r="B444" s="1641" t="s">
        <v>294</v>
      </c>
      <c r="C444" s="1359"/>
      <c r="D444" s="1359"/>
      <c r="E444" s="1357" t="s">
        <v>20</v>
      </c>
      <c r="F444" s="1357"/>
      <c r="G444" s="1358" t="s">
        <v>295</v>
      </c>
      <c r="H444" s="1358"/>
      <c r="I444" s="1358"/>
      <c r="J444" s="1359" t="s">
        <v>296</v>
      </c>
      <c r="K444" s="1359"/>
      <c r="L444" s="1359"/>
      <c r="M444" s="1359" t="s">
        <v>297</v>
      </c>
      <c r="N444" s="1359"/>
      <c r="O444" s="1359" t="s">
        <v>298</v>
      </c>
      <c r="P444" s="1359"/>
      <c r="Q444" s="1360"/>
      <c r="S444" s="260"/>
      <c r="T444" s="260"/>
      <c r="U444" s="260"/>
      <c r="V444" s="260"/>
      <c r="X444" s="12"/>
      <c r="Y444" s="12"/>
      <c r="Z444" s="12"/>
      <c r="AD444" s="331">
        <v>0</v>
      </c>
      <c r="AE444" s="332" t="str">
        <f>+AE321</f>
        <v>~</v>
      </c>
      <c r="AF444" s="333">
        <v>0</v>
      </c>
      <c r="AG444" s="1642">
        <f>+AF444-AD444</f>
        <v>0</v>
      </c>
      <c r="AH444" s="1642"/>
      <c r="AI444" s="334"/>
      <c r="AJ444" s="26">
        <f>+BC6</f>
        <v>18000</v>
      </c>
      <c r="AK444" s="336">
        <f t="shared" ref="AK444:AK465" si="39">IF(AG444="","",(IF(AQ444&lt;0.5*$G$5,((AQ444/$G$5+0.125)/1.25),((AQ444/$G$5)-2)/(-3))))</f>
        <v>0.1</v>
      </c>
      <c r="AL444" s="1643"/>
      <c r="AM444" s="1644"/>
      <c r="AN444" s="1639">
        <f t="shared" ref="AN444:AN462" si="40">IF(AK444&lt;0,0,+AK444*AG444/AJ444)</f>
        <v>0</v>
      </c>
      <c r="AO444" s="1640"/>
      <c r="AP444" s="11"/>
      <c r="AQ444" s="28">
        <f>SUM(AG444)/2</f>
        <v>0</v>
      </c>
      <c r="AR444" s="29"/>
      <c r="AS444" s="871">
        <v>1</v>
      </c>
      <c r="AT444" s="871"/>
      <c r="AU444" s="1606">
        <f>+BN6</f>
        <v>9</v>
      </c>
      <c r="AV444" s="1607"/>
      <c r="AX444" s="30" t="s">
        <v>36</v>
      </c>
      <c r="AY444" s="31" t="s">
        <v>37</v>
      </c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3"/>
      <c r="CA444" s="5"/>
      <c r="CB444" s="5"/>
      <c r="CC444" s="5"/>
      <c r="CD444" s="5"/>
      <c r="CE444" s="5"/>
    </row>
    <row r="445" spans="1:87" ht="15" customHeight="1">
      <c r="A445" s="136"/>
      <c r="B445" s="1641"/>
      <c r="C445" s="1359"/>
      <c r="D445" s="1359"/>
      <c r="E445" s="1357"/>
      <c r="F445" s="1357"/>
      <c r="G445" s="1358"/>
      <c r="H445" s="1358"/>
      <c r="I445" s="1358"/>
      <c r="J445" s="1359"/>
      <c r="K445" s="1359"/>
      <c r="L445" s="1359"/>
      <c r="M445" s="1359"/>
      <c r="N445" s="1359"/>
      <c r="O445" s="1359"/>
      <c r="P445" s="1359"/>
      <c r="Q445" s="1360"/>
      <c r="S445" s="260"/>
      <c r="T445" s="260"/>
      <c r="U445" s="260"/>
      <c r="V445" s="260"/>
      <c r="X445" s="12"/>
      <c r="Y445" s="12"/>
      <c r="Z445" s="12"/>
      <c r="AD445" s="34">
        <v>0</v>
      </c>
      <c r="AE445" s="337" t="str">
        <f t="shared" ref="AD445:AF460" si="41">+AE322</f>
        <v>~</v>
      </c>
      <c r="AF445" s="338">
        <v>0</v>
      </c>
      <c r="AG445" s="1426">
        <f>+AF445-AD445</f>
        <v>0</v>
      </c>
      <c r="AH445" s="1426"/>
      <c r="AI445" s="334"/>
      <c r="AJ445" s="26">
        <f t="shared" ref="AJ445:AJ465" si="42">+BC7</f>
        <v>20400</v>
      </c>
      <c r="AK445" s="339">
        <f t="shared" si="39"/>
        <v>0.1</v>
      </c>
      <c r="AL445" s="1612"/>
      <c r="AM445" s="1613"/>
      <c r="AN445" s="1380">
        <f t="shared" si="40"/>
        <v>0</v>
      </c>
      <c r="AO445" s="1433"/>
      <c r="AP445" s="11"/>
      <c r="AQ445" s="28">
        <f>SUM(AG444)+(AG445/2)</f>
        <v>0</v>
      </c>
      <c r="AR445" s="29"/>
      <c r="AS445" s="871">
        <v>2</v>
      </c>
      <c r="AT445" s="871"/>
      <c r="AU445" s="1606">
        <f t="shared" ref="AU445:AU470" si="43">+BN7</f>
        <v>11</v>
      </c>
      <c r="AV445" s="1607"/>
      <c r="AX445" s="1628" t="s">
        <v>40</v>
      </c>
      <c r="AY445" s="1628"/>
      <c r="AZ445" s="1628"/>
      <c r="BA445" s="1628"/>
      <c r="BB445" s="1628"/>
      <c r="BC445" s="1638" t="s">
        <v>41</v>
      </c>
      <c r="BD445" s="1638"/>
      <c r="BE445" s="1638"/>
      <c r="BF445" s="1638"/>
      <c r="BG445" s="1638"/>
      <c r="BH445" s="1628" t="s">
        <v>42</v>
      </c>
      <c r="BI445" s="1628"/>
      <c r="BJ445" s="1628"/>
      <c r="BK445" s="1628"/>
      <c r="BL445" s="1628"/>
      <c r="CA445" s="5"/>
      <c r="CB445" s="5"/>
      <c r="CC445" s="5"/>
      <c r="CD445" s="5"/>
      <c r="CE445" s="5"/>
    </row>
    <row r="446" spans="1:87" ht="15" customHeight="1">
      <c r="A446" s="136"/>
      <c r="B446" s="261">
        <f>+AD444</f>
        <v>0</v>
      </c>
      <c r="C446" s="262" t="s">
        <v>35</v>
      </c>
      <c r="D446" s="263">
        <f>+AF444</f>
        <v>0</v>
      </c>
      <c r="E446" s="909">
        <f>+D446-B446</f>
        <v>0</v>
      </c>
      <c r="F446" s="909"/>
      <c r="G446" s="910">
        <f>+AQ444</f>
        <v>0</v>
      </c>
      <c r="H446" s="910"/>
      <c r="I446" s="910"/>
      <c r="J446" s="912">
        <f>+AJ444</f>
        <v>18000</v>
      </c>
      <c r="K446" s="912"/>
      <c r="L446" s="912"/>
      <c r="M446" s="906">
        <f>+AK444</f>
        <v>0.1</v>
      </c>
      <c r="N446" s="906"/>
      <c r="O446" s="907">
        <f t="shared" ref="O446:O464" si="44">IF(M446&lt;0,0,ROUND(M446*E446/J446,7))</f>
        <v>0</v>
      </c>
      <c r="P446" s="907"/>
      <c r="Q446" s="908"/>
      <c r="S446" s="264"/>
      <c r="T446" s="264"/>
      <c r="U446" s="264"/>
      <c r="V446" s="264"/>
      <c r="X446" s="264"/>
      <c r="Y446" s="264"/>
      <c r="Z446" s="264"/>
      <c r="AD446" s="34">
        <f t="shared" si="41"/>
        <v>0</v>
      </c>
      <c r="AE446" s="337" t="str">
        <f t="shared" si="41"/>
        <v>~</v>
      </c>
      <c r="AF446" s="338">
        <f t="shared" si="41"/>
        <v>0</v>
      </c>
      <c r="AG446" s="1426">
        <f t="shared" ref="AG446:AG462" si="45">+AF446-AD446</f>
        <v>0</v>
      </c>
      <c r="AH446" s="1426"/>
      <c r="AI446" s="334"/>
      <c r="AJ446" s="26">
        <f t="shared" si="42"/>
        <v>32400</v>
      </c>
      <c r="AK446" s="339">
        <f t="shared" si="39"/>
        <v>0.1</v>
      </c>
      <c r="AL446" s="1612"/>
      <c r="AM446" s="1613"/>
      <c r="AN446" s="1380">
        <f t="shared" si="40"/>
        <v>0</v>
      </c>
      <c r="AO446" s="1433"/>
      <c r="AP446" s="11"/>
      <c r="AQ446" s="28">
        <f>SUM(AG$444:AG445)+(AG446/2)</f>
        <v>0</v>
      </c>
      <c r="AR446" s="29"/>
      <c r="AS446" s="871">
        <v>3</v>
      </c>
      <c r="AT446" s="871"/>
      <c r="AU446" s="1606">
        <f t="shared" si="43"/>
        <v>21</v>
      </c>
      <c r="AV446" s="1607"/>
      <c r="AX446" s="1628" t="s">
        <v>46</v>
      </c>
      <c r="AY446" s="1628"/>
      <c r="AZ446" s="1628"/>
      <c r="BA446" s="1628"/>
      <c r="BB446" s="1628"/>
      <c r="BC446" s="1632" t="s">
        <v>47</v>
      </c>
      <c r="BD446" s="1632"/>
      <c r="BE446" s="1632"/>
      <c r="BF446" s="1632"/>
      <c r="BG446" s="1632"/>
      <c r="BH446" s="1633"/>
      <c r="BI446" s="1633"/>
      <c r="BJ446" s="1633"/>
      <c r="BK446" s="1633"/>
      <c r="BL446" s="1633"/>
      <c r="CA446" s="5"/>
      <c r="CB446" s="5"/>
      <c r="CC446" s="5"/>
      <c r="CD446" s="5"/>
      <c r="CE446" s="5"/>
      <c r="CG446" s="5"/>
      <c r="CH446" s="5"/>
      <c r="CI446" s="5"/>
    </row>
    <row r="447" spans="1:87" ht="15" customHeight="1">
      <c r="A447" s="136"/>
      <c r="B447" s="261">
        <f>+D446</f>
        <v>0</v>
      </c>
      <c r="C447" s="262" t="s">
        <v>35</v>
      </c>
      <c r="D447" s="263">
        <f t="shared" ref="D447:D463" si="46">+AF445</f>
        <v>0</v>
      </c>
      <c r="E447" s="909">
        <f t="shared" ref="E447:E464" si="47">+D447-B447</f>
        <v>0</v>
      </c>
      <c r="F447" s="909"/>
      <c r="G447" s="910">
        <f t="shared" ref="G447:G464" si="48">+AQ445</f>
        <v>0</v>
      </c>
      <c r="H447" s="910"/>
      <c r="I447" s="910"/>
      <c r="J447" s="912">
        <f t="shared" ref="J447:J464" si="49">+AJ445</f>
        <v>20400</v>
      </c>
      <c r="K447" s="912"/>
      <c r="L447" s="912"/>
      <c r="M447" s="906">
        <f t="shared" ref="M447:M464" si="50">+AK445</f>
        <v>0.1</v>
      </c>
      <c r="N447" s="906"/>
      <c r="O447" s="907">
        <f t="shared" si="44"/>
        <v>0</v>
      </c>
      <c r="P447" s="907"/>
      <c r="Q447" s="908"/>
      <c r="S447" s="264"/>
      <c r="T447" s="264"/>
      <c r="U447" s="264"/>
      <c r="V447" s="264"/>
      <c r="X447" s="264"/>
      <c r="Y447" s="264"/>
      <c r="Z447" s="264"/>
      <c r="AD447" s="34">
        <f t="shared" si="41"/>
        <v>0</v>
      </c>
      <c r="AE447" s="337" t="str">
        <f t="shared" si="41"/>
        <v>~</v>
      </c>
      <c r="AF447" s="338">
        <f t="shared" si="41"/>
        <v>0</v>
      </c>
      <c r="AG447" s="1426">
        <f t="shared" si="45"/>
        <v>0</v>
      </c>
      <c r="AH447" s="1426"/>
      <c r="AI447" s="334"/>
      <c r="AJ447" s="26">
        <f t="shared" si="42"/>
        <v>21600</v>
      </c>
      <c r="AK447" s="339">
        <f t="shared" si="39"/>
        <v>0.1</v>
      </c>
      <c r="AL447" s="1612"/>
      <c r="AM447" s="1613"/>
      <c r="AN447" s="1380">
        <f t="shared" si="40"/>
        <v>0</v>
      </c>
      <c r="AO447" s="1433"/>
      <c r="AP447" s="11"/>
      <c r="AQ447" s="28">
        <f>SUM(AG$444:AG446)+(AG447/2)</f>
        <v>0</v>
      </c>
      <c r="AR447" s="29"/>
      <c r="AS447" s="871">
        <v>4</v>
      </c>
      <c r="AT447" s="871"/>
      <c r="AU447" s="1606">
        <f t="shared" si="43"/>
        <v>12</v>
      </c>
      <c r="AV447" s="1607"/>
      <c r="AX447" s="1628"/>
      <c r="AY447" s="1628"/>
      <c r="AZ447" s="1628"/>
      <c r="BA447" s="1628"/>
      <c r="BB447" s="1628"/>
      <c r="BC447" s="1637" t="s">
        <v>59</v>
      </c>
      <c r="BD447" s="1637"/>
      <c r="BE447" s="1637"/>
      <c r="BF447" s="1637"/>
      <c r="BG447" s="1637"/>
      <c r="BH447" s="1636" t="s">
        <v>60</v>
      </c>
      <c r="BI447" s="1636"/>
      <c r="BJ447" s="1636"/>
      <c r="BK447" s="1636"/>
      <c r="BL447" s="1636"/>
      <c r="CA447" s="5"/>
      <c r="CB447" s="5"/>
      <c r="CC447" s="5"/>
      <c r="CD447" s="5"/>
      <c r="CE447" s="5"/>
      <c r="CF447" s="5"/>
      <c r="CG447" s="5"/>
      <c r="CH447" s="5"/>
      <c r="CI447" s="5"/>
    </row>
    <row r="448" spans="1:87" ht="15" customHeight="1">
      <c r="A448" s="136"/>
      <c r="B448" s="261">
        <f t="shared" ref="B448:B467" si="51">+D447</f>
        <v>0</v>
      </c>
      <c r="C448" s="262" t="s">
        <v>35</v>
      </c>
      <c r="D448" s="263">
        <f t="shared" si="46"/>
        <v>0</v>
      </c>
      <c r="E448" s="909">
        <f t="shared" si="47"/>
        <v>0</v>
      </c>
      <c r="F448" s="909"/>
      <c r="G448" s="910">
        <f t="shared" si="48"/>
        <v>0</v>
      </c>
      <c r="H448" s="910"/>
      <c r="I448" s="910"/>
      <c r="J448" s="912">
        <f t="shared" si="49"/>
        <v>32400</v>
      </c>
      <c r="K448" s="912"/>
      <c r="L448" s="912"/>
      <c r="M448" s="906">
        <f t="shared" si="50"/>
        <v>0.1</v>
      </c>
      <c r="N448" s="906"/>
      <c r="O448" s="907">
        <f t="shared" si="44"/>
        <v>0</v>
      </c>
      <c r="P448" s="907"/>
      <c r="Q448" s="908"/>
      <c r="S448" s="264"/>
      <c r="T448" s="264"/>
      <c r="U448" s="264"/>
      <c r="V448" s="264"/>
      <c r="X448" s="264"/>
      <c r="Y448" s="264"/>
      <c r="Z448" s="264"/>
      <c r="AD448" s="34">
        <f t="shared" si="41"/>
        <v>0</v>
      </c>
      <c r="AE448" s="337" t="str">
        <f t="shared" si="41"/>
        <v>~</v>
      </c>
      <c r="AF448" s="338">
        <f t="shared" si="41"/>
        <v>0</v>
      </c>
      <c r="AG448" s="1426">
        <f t="shared" si="45"/>
        <v>0</v>
      </c>
      <c r="AH448" s="1426"/>
      <c r="AI448" s="334"/>
      <c r="AJ448" s="26">
        <f t="shared" si="42"/>
        <v>25200</v>
      </c>
      <c r="AK448" s="339">
        <f t="shared" si="39"/>
        <v>0.1</v>
      </c>
      <c r="AL448" s="1612"/>
      <c r="AM448" s="1613"/>
      <c r="AN448" s="1380">
        <f t="shared" si="40"/>
        <v>0</v>
      </c>
      <c r="AO448" s="1433"/>
      <c r="AP448" s="11"/>
      <c r="AQ448" s="28">
        <f>SUM(AG$444:AG447)+(AG448/2)</f>
        <v>0</v>
      </c>
      <c r="AR448" s="29"/>
      <c r="AS448" s="871">
        <v>5</v>
      </c>
      <c r="AT448" s="871"/>
      <c r="AU448" s="1606">
        <f t="shared" si="43"/>
        <v>15</v>
      </c>
      <c r="AV448" s="1607"/>
      <c r="AX448" s="1628"/>
      <c r="AY448" s="1628"/>
      <c r="AZ448" s="1628"/>
      <c r="BA448" s="1628"/>
      <c r="BB448" s="1628"/>
      <c r="BC448" s="1636" t="s">
        <v>62</v>
      </c>
      <c r="BD448" s="1636"/>
      <c r="BE448" s="1636"/>
      <c r="BF448" s="1636"/>
      <c r="BG448" s="1636"/>
      <c r="BH448" s="1636" t="s">
        <v>63</v>
      </c>
      <c r="BI448" s="1636"/>
      <c r="BJ448" s="1636"/>
      <c r="BK448" s="1636"/>
      <c r="BL448" s="1636"/>
      <c r="CA448" s="5"/>
      <c r="CB448" s="5"/>
      <c r="CC448" s="5"/>
      <c r="CD448" s="5"/>
      <c r="CE448" s="5"/>
      <c r="CF448" s="5"/>
      <c r="CG448" s="5"/>
      <c r="CH448" s="5"/>
      <c r="CI448" s="5"/>
    </row>
    <row r="449" spans="1:87" ht="15" customHeight="1">
      <c r="A449" s="136"/>
      <c r="B449" s="261">
        <f t="shared" si="51"/>
        <v>0</v>
      </c>
      <c r="C449" s="262" t="s">
        <v>35</v>
      </c>
      <c r="D449" s="263">
        <f t="shared" si="46"/>
        <v>0</v>
      </c>
      <c r="E449" s="909">
        <f t="shared" si="47"/>
        <v>0</v>
      </c>
      <c r="F449" s="909"/>
      <c r="G449" s="910">
        <f t="shared" si="48"/>
        <v>0</v>
      </c>
      <c r="H449" s="910"/>
      <c r="I449" s="910"/>
      <c r="J449" s="912">
        <f t="shared" si="49"/>
        <v>21600</v>
      </c>
      <c r="K449" s="912"/>
      <c r="L449" s="912"/>
      <c r="M449" s="906">
        <f t="shared" si="50"/>
        <v>0.1</v>
      </c>
      <c r="N449" s="906"/>
      <c r="O449" s="907">
        <f t="shared" si="44"/>
        <v>0</v>
      </c>
      <c r="P449" s="907"/>
      <c r="Q449" s="908"/>
      <c r="S449" s="264"/>
      <c r="T449" s="264"/>
      <c r="U449" s="264"/>
      <c r="V449" s="264"/>
      <c r="X449" s="264"/>
      <c r="Y449" s="264"/>
      <c r="Z449" s="264"/>
      <c r="AD449" s="34">
        <f>+AF448</f>
        <v>0</v>
      </c>
      <c r="AE449" s="337" t="str">
        <f t="shared" si="41"/>
        <v>~</v>
      </c>
      <c r="AF449" s="338">
        <v>0</v>
      </c>
      <c r="AG449" s="1426">
        <f t="shared" si="45"/>
        <v>0</v>
      </c>
      <c r="AH449" s="1426"/>
      <c r="AI449" s="334"/>
      <c r="AJ449" s="26">
        <f t="shared" si="42"/>
        <v>15600</v>
      </c>
      <c r="AK449" s="339">
        <f t="shared" si="39"/>
        <v>0.1</v>
      </c>
      <c r="AL449" s="1612"/>
      <c r="AM449" s="1613"/>
      <c r="AN449" s="1380">
        <f t="shared" si="40"/>
        <v>0</v>
      </c>
      <c r="AO449" s="1433"/>
      <c r="AP449" s="11"/>
      <c r="AQ449" s="28">
        <f>SUM(AG$444:AG448)+(AG449/2)</f>
        <v>0</v>
      </c>
      <c r="AR449" s="29"/>
      <c r="AS449" s="871">
        <v>6</v>
      </c>
      <c r="AT449" s="871"/>
      <c r="AU449" s="1606">
        <f t="shared" si="43"/>
        <v>7</v>
      </c>
      <c r="AV449" s="1607"/>
      <c r="AX449" s="1628"/>
      <c r="AY449" s="1628"/>
      <c r="AZ449" s="1628"/>
      <c r="BA449" s="1628"/>
      <c r="BB449" s="1628"/>
      <c r="BC449" s="1626" t="s">
        <v>64</v>
      </c>
      <c r="BD449" s="1626"/>
      <c r="BE449" s="1626"/>
      <c r="BF449" s="1626"/>
      <c r="BG449" s="1626"/>
      <c r="BH449" s="1629"/>
      <c r="BI449" s="1629"/>
      <c r="BJ449" s="1629"/>
      <c r="BK449" s="1629"/>
      <c r="BL449" s="1629"/>
      <c r="CA449" s="5"/>
      <c r="CB449" s="5"/>
      <c r="CC449" s="5"/>
      <c r="CD449" s="5"/>
      <c r="CE449" s="5"/>
      <c r="CF449" s="5"/>
      <c r="CG449" s="5"/>
      <c r="CH449" s="5"/>
      <c r="CI449" s="5"/>
    </row>
    <row r="450" spans="1:87" ht="15" customHeight="1">
      <c r="A450" s="136"/>
      <c r="B450" s="261">
        <f t="shared" si="51"/>
        <v>0</v>
      </c>
      <c r="C450" s="262" t="s">
        <v>35</v>
      </c>
      <c r="D450" s="263">
        <f t="shared" si="46"/>
        <v>0</v>
      </c>
      <c r="E450" s="909">
        <f t="shared" si="47"/>
        <v>0</v>
      </c>
      <c r="F450" s="909"/>
      <c r="G450" s="910">
        <f t="shared" si="48"/>
        <v>0</v>
      </c>
      <c r="H450" s="910"/>
      <c r="I450" s="910"/>
      <c r="J450" s="912">
        <f t="shared" si="49"/>
        <v>25200</v>
      </c>
      <c r="K450" s="912"/>
      <c r="L450" s="912"/>
      <c r="M450" s="906">
        <f t="shared" si="50"/>
        <v>0.1</v>
      </c>
      <c r="N450" s="906"/>
      <c r="O450" s="907">
        <f t="shared" si="44"/>
        <v>0</v>
      </c>
      <c r="P450" s="907"/>
      <c r="Q450" s="908"/>
      <c r="S450" s="264"/>
      <c r="T450" s="264"/>
      <c r="U450" s="264"/>
      <c r="V450" s="264"/>
      <c r="X450" s="264"/>
      <c r="Y450" s="264"/>
      <c r="Z450" s="264"/>
      <c r="AD450" s="34">
        <v>0</v>
      </c>
      <c r="AE450" s="337" t="str">
        <f t="shared" si="41"/>
        <v>~</v>
      </c>
      <c r="AF450" s="338">
        <f t="shared" si="41"/>
        <v>0</v>
      </c>
      <c r="AG450" s="1426">
        <f t="shared" si="45"/>
        <v>0</v>
      </c>
      <c r="AH450" s="1426"/>
      <c r="AI450" s="334"/>
      <c r="AJ450" s="26">
        <f t="shared" si="42"/>
        <v>21600</v>
      </c>
      <c r="AK450" s="340">
        <f t="shared" si="39"/>
        <v>0.1</v>
      </c>
      <c r="AL450" s="1624"/>
      <c r="AM450" s="1625"/>
      <c r="AN450" s="1380">
        <f t="shared" si="40"/>
        <v>0</v>
      </c>
      <c r="AO450" s="1433"/>
      <c r="AP450" s="11"/>
      <c r="AQ450" s="28">
        <f>SUM(AG$444:AG449)+(AG450/2)</f>
        <v>0</v>
      </c>
      <c r="AR450" s="29"/>
      <c r="AS450" s="871">
        <v>7</v>
      </c>
      <c r="AT450" s="871"/>
      <c r="AU450" s="1606">
        <f t="shared" si="43"/>
        <v>12</v>
      </c>
      <c r="AV450" s="1607"/>
      <c r="AX450" s="1628" t="s">
        <v>65</v>
      </c>
      <c r="AY450" s="1628"/>
      <c r="AZ450" s="1628"/>
      <c r="BA450" s="1628"/>
      <c r="BB450" s="1628"/>
      <c r="BC450" s="1634" t="s">
        <v>66</v>
      </c>
      <c r="BD450" s="1634"/>
      <c r="BE450" s="1634"/>
      <c r="BF450" s="1634"/>
      <c r="BG450" s="1634"/>
      <c r="BH450" s="1634" t="s">
        <v>67</v>
      </c>
      <c r="BI450" s="1634"/>
      <c r="BJ450" s="1634"/>
      <c r="BK450" s="1634"/>
      <c r="BL450" s="1634"/>
      <c r="CA450" s="5"/>
      <c r="CB450" s="5"/>
      <c r="CC450" s="5"/>
      <c r="CD450" s="5"/>
      <c r="CE450" s="5"/>
      <c r="CF450" s="5"/>
      <c r="CG450" s="5"/>
      <c r="CH450" s="5"/>
      <c r="CI450" s="5"/>
    </row>
    <row r="451" spans="1:87" ht="15" customHeight="1">
      <c r="A451" s="136"/>
      <c r="B451" s="261">
        <f t="shared" si="51"/>
        <v>0</v>
      </c>
      <c r="C451" s="262" t="s">
        <v>35</v>
      </c>
      <c r="D451" s="263">
        <f t="shared" si="46"/>
        <v>0</v>
      </c>
      <c r="E451" s="909">
        <f t="shared" si="47"/>
        <v>0</v>
      </c>
      <c r="F451" s="909"/>
      <c r="G451" s="910">
        <f t="shared" si="48"/>
        <v>0</v>
      </c>
      <c r="H451" s="910"/>
      <c r="I451" s="910"/>
      <c r="J451" s="912">
        <f t="shared" si="49"/>
        <v>15600</v>
      </c>
      <c r="K451" s="912"/>
      <c r="L451" s="912"/>
      <c r="M451" s="906">
        <f t="shared" si="50"/>
        <v>0.1</v>
      </c>
      <c r="N451" s="906"/>
      <c r="O451" s="907">
        <f t="shared" si="44"/>
        <v>0</v>
      </c>
      <c r="P451" s="907"/>
      <c r="Q451" s="908"/>
      <c r="S451" s="264"/>
      <c r="T451" s="264"/>
      <c r="U451" s="264"/>
      <c r="V451" s="264"/>
      <c r="X451" s="264"/>
      <c r="Y451" s="264"/>
      <c r="Z451" s="264"/>
      <c r="AD451" s="34">
        <v>7.9</v>
      </c>
      <c r="AE451" s="337" t="str">
        <f t="shared" si="41"/>
        <v>~</v>
      </c>
      <c r="AF451" s="338">
        <f t="shared" si="41"/>
        <v>8</v>
      </c>
      <c r="AG451" s="1426">
        <f t="shared" si="45"/>
        <v>9.9999999999999645E-2</v>
      </c>
      <c r="AH451" s="1426"/>
      <c r="AI451" s="334"/>
      <c r="AJ451" s="26">
        <f t="shared" si="42"/>
        <v>30000</v>
      </c>
      <c r="AK451" s="339">
        <f t="shared" si="39"/>
        <v>0.10476190476190475</v>
      </c>
      <c r="AL451" s="1624"/>
      <c r="AM451" s="1625"/>
      <c r="AN451" s="1380">
        <f t="shared" si="40"/>
        <v>3.492063492063479E-7</v>
      </c>
      <c r="AO451" s="1433"/>
      <c r="AP451" s="11"/>
      <c r="AQ451" s="28">
        <f>SUM(AG$444:AG450)+(AG451/2)</f>
        <v>4.9999999999999822E-2</v>
      </c>
      <c r="AR451" s="29"/>
      <c r="AS451" s="871">
        <v>8</v>
      </c>
      <c r="AT451" s="871"/>
      <c r="AU451" s="1606">
        <f t="shared" si="43"/>
        <v>19</v>
      </c>
      <c r="AV451" s="1607"/>
      <c r="AX451" s="1628" t="s">
        <v>68</v>
      </c>
      <c r="AY451" s="1628"/>
      <c r="AZ451" s="1628"/>
      <c r="BA451" s="1628"/>
      <c r="BB451" s="1628"/>
      <c r="BC451" s="1634" t="s">
        <v>69</v>
      </c>
      <c r="BD451" s="1634"/>
      <c r="BE451" s="1634"/>
      <c r="BF451" s="1634"/>
      <c r="BG451" s="1634"/>
      <c r="BH451" s="1634" t="s">
        <v>70</v>
      </c>
      <c r="BI451" s="1634"/>
      <c r="BJ451" s="1634"/>
      <c r="BK451" s="1634"/>
      <c r="BL451" s="1634"/>
      <c r="BZ451" s="5"/>
      <c r="CA451" s="5"/>
      <c r="CB451" s="5"/>
      <c r="CC451" s="5"/>
      <c r="CD451" s="5"/>
      <c r="CE451" s="5"/>
      <c r="CF451" s="5"/>
      <c r="CG451" s="5"/>
      <c r="CH451" s="5"/>
      <c r="CI451" s="5"/>
    </row>
    <row r="452" spans="1:87" ht="15" customHeight="1">
      <c r="A452" s="136"/>
      <c r="B452" s="261">
        <f t="shared" si="51"/>
        <v>0</v>
      </c>
      <c r="C452" s="262" t="s">
        <v>35</v>
      </c>
      <c r="D452" s="263">
        <f t="shared" si="46"/>
        <v>0</v>
      </c>
      <c r="E452" s="909">
        <f t="shared" si="47"/>
        <v>0</v>
      </c>
      <c r="F452" s="909"/>
      <c r="G452" s="910">
        <f t="shared" si="48"/>
        <v>0</v>
      </c>
      <c r="H452" s="910"/>
      <c r="I452" s="910"/>
      <c r="J452" s="912">
        <f t="shared" si="49"/>
        <v>21600</v>
      </c>
      <c r="K452" s="912"/>
      <c r="L452" s="912"/>
      <c r="M452" s="906">
        <f t="shared" si="50"/>
        <v>0.1</v>
      </c>
      <c r="N452" s="906"/>
      <c r="O452" s="907">
        <f t="shared" si="44"/>
        <v>0</v>
      </c>
      <c r="P452" s="907"/>
      <c r="Q452" s="908"/>
      <c r="S452" s="264"/>
      <c r="T452" s="264"/>
      <c r="U452" s="264"/>
      <c r="V452" s="264"/>
      <c r="X452" s="264"/>
      <c r="Y452" s="264"/>
      <c r="Z452" s="264"/>
      <c r="AD452" s="34">
        <f t="shared" ref="AD452:AF466" si="52">+AD329</f>
        <v>8</v>
      </c>
      <c r="AE452" s="337" t="str">
        <f t="shared" si="41"/>
        <v>~</v>
      </c>
      <c r="AF452" s="338">
        <f t="shared" si="41"/>
        <v>9</v>
      </c>
      <c r="AG452" s="1426">
        <f t="shared" si="45"/>
        <v>1</v>
      </c>
      <c r="AH452" s="1426"/>
      <c r="AI452" s="334"/>
      <c r="AJ452" s="26">
        <f t="shared" si="42"/>
        <v>9900</v>
      </c>
      <c r="AK452" s="339">
        <f t="shared" si="39"/>
        <v>0.15714285714285711</v>
      </c>
      <c r="AL452" s="1624"/>
      <c r="AM452" s="1625"/>
      <c r="AN452" s="1380">
        <f t="shared" si="40"/>
        <v>1.5873015873015869E-5</v>
      </c>
      <c r="AO452" s="1433"/>
      <c r="AP452" s="11"/>
      <c r="AQ452" s="28">
        <f>SUM(AG$444:AG451)+(AG452/2)</f>
        <v>0.59999999999999964</v>
      </c>
      <c r="AR452" s="29"/>
      <c r="AS452" s="871">
        <v>9</v>
      </c>
      <c r="AT452" s="871"/>
      <c r="AU452" s="1606">
        <f t="shared" si="43"/>
        <v>27</v>
      </c>
      <c r="AV452" s="1607"/>
      <c r="AX452" s="1628" t="s">
        <v>72</v>
      </c>
      <c r="AY452" s="1628"/>
      <c r="AZ452" s="1628"/>
      <c r="BA452" s="1628"/>
      <c r="BB452" s="1628"/>
      <c r="BC452" s="1631" t="s">
        <v>73</v>
      </c>
      <c r="BD452" s="1631"/>
      <c r="BE452" s="1631"/>
      <c r="BF452" s="1631"/>
      <c r="BG452" s="1631"/>
      <c r="BH452" s="1634"/>
      <c r="BI452" s="1634"/>
      <c r="BJ452" s="1634"/>
      <c r="BK452" s="1634"/>
      <c r="BL452" s="1634"/>
      <c r="BZ452" s="5"/>
      <c r="CF452" s="5"/>
      <c r="CG452" s="5"/>
      <c r="CH452" s="5"/>
      <c r="CI452" s="5"/>
    </row>
    <row r="453" spans="1:87" ht="15" customHeight="1">
      <c r="A453" s="136"/>
      <c r="B453" s="261">
        <v>7.9</v>
      </c>
      <c r="C453" s="262" t="s">
        <v>35</v>
      </c>
      <c r="D453" s="263">
        <f t="shared" si="46"/>
        <v>8</v>
      </c>
      <c r="E453" s="909">
        <f t="shared" si="47"/>
        <v>9.9999999999999645E-2</v>
      </c>
      <c r="F453" s="909"/>
      <c r="G453" s="910">
        <f t="shared" si="48"/>
        <v>4.9999999999999822E-2</v>
      </c>
      <c r="H453" s="910"/>
      <c r="I453" s="910"/>
      <c r="J453" s="912">
        <f t="shared" si="49"/>
        <v>30000</v>
      </c>
      <c r="K453" s="912"/>
      <c r="L453" s="912"/>
      <c r="M453" s="906">
        <f t="shared" si="50"/>
        <v>0.10476190476190475</v>
      </c>
      <c r="N453" s="906"/>
      <c r="O453" s="907">
        <f t="shared" si="44"/>
        <v>2.9999999999999999E-7</v>
      </c>
      <c r="P453" s="907"/>
      <c r="Q453" s="908"/>
      <c r="S453" s="264"/>
      <c r="T453" s="264"/>
      <c r="U453" s="264"/>
      <c r="V453" s="264"/>
      <c r="X453" s="264"/>
      <c r="Y453" s="264"/>
      <c r="Z453" s="264"/>
      <c r="AD453" s="34">
        <f t="shared" si="52"/>
        <v>9</v>
      </c>
      <c r="AE453" s="337" t="str">
        <f t="shared" si="41"/>
        <v>~</v>
      </c>
      <c r="AF453" s="338">
        <f t="shared" si="41"/>
        <v>10</v>
      </c>
      <c r="AG453" s="1426">
        <f t="shared" si="45"/>
        <v>1</v>
      </c>
      <c r="AH453" s="1426"/>
      <c r="AI453" s="334"/>
      <c r="AJ453" s="26">
        <f t="shared" si="42"/>
        <v>25000</v>
      </c>
      <c r="AK453" s="339">
        <f t="shared" si="39"/>
        <v>0.25238095238095237</v>
      </c>
      <c r="AL453" s="1624"/>
      <c r="AM453" s="1625"/>
      <c r="AN453" s="1380">
        <f t="shared" si="40"/>
        <v>1.0095238095238094E-5</v>
      </c>
      <c r="AO453" s="1433"/>
      <c r="AP453" s="11"/>
      <c r="AQ453" s="28">
        <f>SUM(AG$444:AG452)+(AG453/2)</f>
        <v>1.5999999999999996</v>
      </c>
      <c r="AR453" s="29"/>
      <c r="AS453" s="871">
        <v>10</v>
      </c>
      <c r="AT453" s="871"/>
      <c r="AU453" s="1606">
        <f t="shared" si="43"/>
        <v>35</v>
      </c>
      <c r="AV453" s="1607"/>
      <c r="AX453" s="1628" t="s">
        <v>75</v>
      </c>
      <c r="AY453" s="1628"/>
      <c r="AZ453" s="1628"/>
      <c r="BA453" s="1628"/>
      <c r="BB453" s="1628"/>
      <c r="BC453" s="1635"/>
      <c r="BD453" s="1635"/>
      <c r="BE453" s="1635"/>
      <c r="BF453" s="1635"/>
      <c r="BG453" s="1635"/>
      <c r="BH453" s="1634" t="s">
        <v>76</v>
      </c>
      <c r="BI453" s="1634"/>
      <c r="BJ453" s="1634"/>
      <c r="BK453" s="1634"/>
      <c r="BL453" s="1634"/>
      <c r="BZ453" s="5"/>
      <c r="CF453" s="5"/>
      <c r="CG453" s="5"/>
      <c r="CH453" s="5"/>
      <c r="CI453" s="5"/>
    </row>
    <row r="454" spans="1:87" ht="15" customHeight="1">
      <c r="A454" s="136"/>
      <c r="B454" s="261">
        <f t="shared" si="51"/>
        <v>8</v>
      </c>
      <c r="C454" s="262" t="s">
        <v>35</v>
      </c>
      <c r="D454" s="263">
        <f t="shared" si="46"/>
        <v>9</v>
      </c>
      <c r="E454" s="909">
        <f t="shared" si="47"/>
        <v>1</v>
      </c>
      <c r="F454" s="909"/>
      <c r="G454" s="910">
        <f t="shared" si="48"/>
        <v>0.59999999999999964</v>
      </c>
      <c r="H454" s="910"/>
      <c r="I454" s="910"/>
      <c r="J454" s="912">
        <f t="shared" si="49"/>
        <v>9900</v>
      </c>
      <c r="K454" s="912"/>
      <c r="L454" s="912"/>
      <c r="M454" s="906">
        <f t="shared" si="50"/>
        <v>0.15714285714285711</v>
      </c>
      <c r="N454" s="906"/>
      <c r="O454" s="907">
        <f t="shared" si="44"/>
        <v>1.59E-5</v>
      </c>
      <c r="P454" s="907"/>
      <c r="Q454" s="908"/>
      <c r="S454" s="264"/>
      <c r="T454" s="264"/>
      <c r="U454" s="264"/>
      <c r="V454" s="264"/>
      <c r="X454" s="264"/>
      <c r="Y454" s="264"/>
      <c r="Z454" s="264"/>
      <c r="AD454" s="34">
        <f t="shared" si="52"/>
        <v>10</v>
      </c>
      <c r="AE454" s="337" t="str">
        <f t="shared" si="41"/>
        <v>~</v>
      </c>
      <c r="AF454" s="338">
        <f t="shared" si="41"/>
        <v>11</v>
      </c>
      <c r="AG454" s="1426">
        <f t="shared" si="45"/>
        <v>1</v>
      </c>
      <c r="AH454" s="1426"/>
      <c r="AI454" s="334"/>
      <c r="AJ454" s="26">
        <f t="shared" si="42"/>
        <v>27000</v>
      </c>
      <c r="AK454" s="339">
        <f t="shared" si="39"/>
        <v>0.34761904761904761</v>
      </c>
      <c r="AL454" s="1624"/>
      <c r="AM454" s="1625"/>
      <c r="AN454" s="1380">
        <f t="shared" si="40"/>
        <v>1.2874779541446208E-5</v>
      </c>
      <c r="AO454" s="1433"/>
      <c r="AP454" s="11"/>
      <c r="AQ454" s="28">
        <f>SUM(AG$444:AG453)+(AG454/2)</f>
        <v>2.5999999999999996</v>
      </c>
      <c r="AR454" s="44"/>
      <c r="AS454" s="871">
        <v>11</v>
      </c>
      <c r="AT454" s="871"/>
      <c r="AU454" s="1606">
        <f t="shared" si="43"/>
        <v>39</v>
      </c>
      <c r="AV454" s="1607"/>
      <c r="AX454" s="1149" t="s">
        <v>78</v>
      </c>
      <c r="AY454" s="1150"/>
      <c r="AZ454" s="1150"/>
      <c r="BA454" s="1150"/>
      <c r="BB454" s="1151"/>
      <c r="BC454" s="1633" t="s">
        <v>79</v>
      </c>
      <c r="BD454" s="1633"/>
      <c r="BE454" s="1633"/>
      <c r="BF454" s="1633"/>
      <c r="BG454" s="1633"/>
      <c r="BH454" s="1632" t="s">
        <v>80</v>
      </c>
      <c r="BI454" s="1632"/>
      <c r="BJ454" s="1632"/>
      <c r="BK454" s="1632"/>
      <c r="BL454" s="1632"/>
      <c r="BZ454" s="5"/>
      <c r="CF454" s="5"/>
      <c r="CG454" s="5"/>
      <c r="CH454" s="5"/>
      <c r="CI454" s="5"/>
    </row>
    <row r="455" spans="1:87" ht="15" customHeight="1">
      <c r="A455" s="136"/>
      <c r="B455" s="261">
        <f t="shared" si="51"/>
        <v>9</v>
      </c>
      <c r="C455" s="262" t="s">
        <v>35</v>
      </c>
      <c r="D455" s="263">
        <f t="shared" si="46"/>
        <v>10</v>
      </c>
      <c r="E455" s="909">
        <f t="shared" si="47"/>
        <v>1</v>
      </c>
      <c r="F455" s="909"/>
      <c r="G455" s="910">
        <f t="shared" si="48"/>
        <v>1.5999999999999996</v>
      </c>
      <c r="H455" s="910"/>
      <c r="I455" s="910"/>
      <c r="J455" s="912">
        <f t="shared" si="49"/>
        <v>25000</v>
      </c>
      <c r="K455" s="912"/>
      <c r="L455" s="912"/>
      <c r="M455" s="906">
        <f t="shared" si="50"/>
        <v>0.25238095238095237</v>
      </c>
      <c r="N455" s="906"/>
      <c r="O455" s="907">
        <f t="shared" si="44"/>
        <v>1.01E-5</v>
      </c>
      <c r="P455" s="907"/>
      <c r="Q455" s="908"/>
      <c r="S455" s="264"/>
      <c r="T455" s="264"/>
      <c r="U455" s="264"/>
      <c r="V455" s="264"/>
      <c r="X455" s="264"/>
      <c r="Y455" s="264"/>
      <c r="Z455" s="264"/>
      <c r="AD455" s="41">
        <f t="shared" si="52"/>
        <v>11</v>
      </c>
      <c r="AE455" s="341" t="str">
        <f t="shared" si="41"/>
        <v>~</v>
      </c>
      <c r="AF455" s="342">
        <f t="shared" si="41"/>
        <v>12</v>
      </c>
      <c r="AG455" s="1426">
        <f t="shared" si="45"/>
        <v>1</v>
      </c>
      <c r="AH455" s="1426"/>
      <c r="AI455" s="334"/>
      <c r="AJ455" s="26">
        <f t="shared" si="42"/>
        <v>30500</v>
      </c>
      <c r="AK455" s="339">
        <f t="shared" si="39"/>
        <v>0.44285714285714278</v>
      </c>
      <c r="AL455" s="1624"/>
      <c r="AM455" s="1625"/>
      <c r="AN455" s="1380">
        <f t="shared" si="40"/>
        <v>1.4519906323185009E-5</v>
      </c>
      <c r="AO455" s="1433"/>
      <c r="AP455" s="11"/>
      <c r="AQ455" s="28">
        <f>SUM(AG$444:AG454)+(AG455/2)</f>
        <v>3.5999999999999996</v>
      </c>
      <c r="AR455" s="52"/>
      <c r="AS455" s="871">
        <v>12</v>
      </c>
      <c r="AT455" s="871"/>
      <c r="AU455" s="1606">
        <f t="shared" si="43"/>
        <v>46</v>
      </c>
      <c r="AV455" s="1607"/>
      <c r="AX455" s="1155"/>
      <c r="AY455" s="1156"/>
      <c r="AZ455" s="1156"/>
      <c r="BA455" s="1156"/>
      <c r="BB455" s="1157"/>
      <c r="BC455" s="1630" t="s">
        <v>82</v>
      </c>
      <c r="BD455" s="1630"/>
      <c r="BE455" s="1630"/>
      <c r="BF455" s="1630"/>
      <c r="BG455" s="1630"/>
      <c r="BH455" s="1630" t="s">
        <v>83</v>
      </c>
      <c r="BI455" s="1630"/>
      <c r="BJ455" s="1630"/>
      <c r="BK455" s="1630"/>
      <c r="BL455" s="1630"/>
      <c r="BZ455" s="5"/>
      <c r="CF455" s="5"/>
      <c r="CG455" s="5"/>
      <c r="CH455" s="5"/>
      <c r="CI455" s="5"/>
    </row>
    <row r="456" spans="1:87" ht="15" customHeight="1">
      <c r="A456" s="136"/>
      <c r="B456" s="261">
        <f t="shared" si="51"/>
        <v>10</v>
      </c>
      <c r="C456" s="262" t="s">
        <v>96</v>
      </c>
      <c r="D456" s="263">
        <f t="shared" si="46"/>
        <v>11</v>
      </c>
      <c r="E456" s="909">
        <f t="shared" si="47"/>
        <v>1</v>
      </c>
      <c r="F456" s="909"/>
      <c r="G456" s="910">
        <f t="shared" si="48"/>
        <v>2.5999999999999996</v>
      </c>
      <c r="H456" s="910"/>
      <c r="I456" s="910"/>
      <c r="J456" s="912">
        <f t="shared" si="49"/>
        <v>27000</v>
      </c>
      <c r="K456" s="912"/>
      <c r="L456" s="912"/>
      <c r="M456" s="906">
        <f t="shared" si="50"/>
        <v>0.34761904761904761</v>
      </c>
      <c r="N456" s="906"/>
      <c r="O456" s="907">
        <f t="shared" si="44"/>
        <v>1.29E-5</v>
      </c>
      <c r="P456" s="907"/>
      <c r="Q456" s="908"/>
      <c r="S456" s="264"/>
      <c r="T456" s="264"/>
      <c r="U456" s="264"/>
      <c r="V456" s="264"/>
      <c r="X456" s="264"/>
      <c r="Y456" s="264"/>
      <c r="Z456" s="264"/>
      <c r="AD456" s="41">
        <f t="shared" si="52"/>
        <v>12</v>
      </c>
      <c r="AE456" s="341" t="str">
        <f t="shared" si="41"/>
        <v>~</v>
      </c>
      <c r="AF456" s="342">
        <f t="shared" si="41"/>
        <v>13</v>
      </c>
      <c r="AG456" s="1426">
        <f t="shared" si="45"/>
        <v>1</v>
      </c>
      <c r="AH456" s="1426"/>
      <c r="AI456" s="334"/>
      <c r="AJ456" s="26">
        <f t="shared" si="42"/>
        <v>31000</v>
      </c>
      <c r="AK456" s="339">
        <f t="shared" si="39"/>
        <v>0.48412698412698418</v>
      </c>
      <c r="AL456" s="1624"/>
      <c r="AM456" s="1625"/>
      <c r="AN456" s="1380">
        <f t="shared" si="40"/>
        <v>1.5616999487967231E-5</v>
      </c>
      <c r="AO456" s="1433"/>
      <c r="AQ456" s="28">
        <f>SUM(AG$444:AG455)+(AG456/2)</f>
        <v>4.5999999999999996</v>
      </c>
      <c r="AR456" s="57"/>
      <c r="AS456" s="871">
        <v>13</v>
      </c>
      <c r="AT456" s="871"/>
      <c r="AU456" s="1606">
        <f t="shared" si="43"/>
        <v>47</v>
      </c>
      <c r="AV456" s="1607"/>
      <c r="AX456" s="1628" t="s">
        <v>85</v>
      </c>
      <c r="AY456" s="1628"/>
      <c r="AZ456" s="1628"/>
      <c r="BA456" s="1628"/>
      <c r="BB456" s="1628"/>
      <c r="BC456" s="1626" t="s">
        <v>86</v>
      </c>
      <c r="BD456" s="1626"/>
      <c r="BE456" s="1626"/>
      <c r="BF456" s="1626"/>
      <c r="BG456" s="1626"/>
      <c r="BH456" s="1629" t="s">
        <v>87</v>
      </c>
      <c r="BI456" s="1629"/>
      <c r="BJ456" s="1629"/>
      <c r="BK456" s="1629"/>
      <c r="BL456" s="1629"/>
      <c r="BZ456" s="5"/>
      <c r="CF456" s="5"/>
      <c r="CG456" s="5"/>
      <c r="CH456" s="5"/>
      <c r="CI456" s="5"/>
    </row>
    <row r="457" spans="1:87" ht="15" customHeight="1">
      <c r="A457" s="136"/>
      <c r="B457" s="261">
        <f t="shared" si="51"/>
        <v>11</v>
      </c>
      <c r="C457" s="262" t="s">
        <v>96</v>
      </c>
      <c r="D457" s="263">
        <f t="shared" si="46"/>
        <v>12</v>
      </c>
      <c r="E457" s="909">
        <f t="shared" si="47"/>
        <v>1</v>
      </c>
      <c r="F457" s="909"/>
      <c r="G457" s="910">
        <f t="shared" si="48"/>
        <v>3.5999999999999996</v>
      </c>
      <c r="H457" s="910"/>
      <c r="I457" s="910"/>
      <c r="J457" s="912">
        <f t="shared" si="49"/>
        <v>30500</v>
      </c>
      <c r="K457" s="912"/>
      <c r="L457" s="912"/>
      <c r="M457" s="906">
        <f t="shared" si="50"/>
        <v>0.44285714285714278</v>
      </c>
      <c r="N457" s="906"/>
      <c r="O457" s="907">
        <f t="shared" si="44"/>
        <v>1.45E-5</v>
      </c>
      <c r="P457" s="907"/>
      <c r="Q457" s="908"/>
      <c r="S457" s="264"/>
      <c r="T457" s="264"/>
      <c r="U457" s="264"/>
      <c r="V457" s="264"/>
      <c r="X457" s="264"/>
      <c r="Y457" s="264"/>
      <c r="Z457" s="264"/>
      <c r="AD457" s="41">
        <f t="shared" si="52"/>
        <v>13</v>
      </c>
      <c r="AE457" s="341" t="str">
        <f t="shared" si="41"/>
        <v>~</v>
      </c>
      <c r="AF457" s="342">
        <f t="shared" si="41"/>
        <v>14</v>
      </c>
      <c r="AG457" s="1426">
        <f t="shared" si="45"/>
        <v>1</v>
      </c>
      <c r="AH457" s="1426"/>
      <c r="AI457" s="334"/>
      <c r="AJ457" s="26">
        <f t="shared" si="42"/>
        <v>33000</v>
      </c>
      <c r="AK457" s="339">
        <f t="shared" si="39"/>
        <v>0.44444444444444448</v>
      </c>
      <c r="AL457" s="1624"/>
      <c r="AM457" s="1625"/>
      <c r="AN457" s="1380">
        <f t="shared" si="40"/>
        <v>1.3468013468013468E-5</v>
      </c>
      <c r="AO457" s="1433"/>
      <c r="AQ457" s="28">
        <f>SUM(AG$444:AG456)+(AG457/2)</f>
        <v>5.6</v>
      </c>
      <c r="AR457" s="57"/>
      <c r="AS457" s="871">
        <v>14</v>
      </c>
      <c r="AT457" s="871"/>
      <c r="AU457" s="1606">
        <f t="shared" si="43"/>
        <v>51</v>
      </c>
      <c r="AV457" s="1607"/>
      <c r="AX457" s="1627"/>
      <c r="AY457" s="1627"/>
      <c r="AZ457" s="1627"/>
      <c r="BA457" s="1627"/>
      <c r="BB457" s="1627"/>
      <c r="BC457" s="1626" t="s">
        <v>92</v>
      </c>
      <c r="BD457" s="1626"/>
      <c r="BE457" s="1626"/>
      <c r="BF457" s="1626"/>
      <c r="BG457" s="1626"/>
      <c r="BH457" s="1626" t="s">
        <v>93</v>
      </c>
      <c r="BI457" s="1626"/>
      <c r="BJ457" s="1626"/>
      <c r="BK457" s="1626"/>
      <c r="BL457" s="1626"/>
      <c r="BZ457" s="5"/>
      <c r="CF457" s="5"/>
      <c r="CG457" s="5"/>
      <c r="CH457" s="5"/>
      <c r="CI457" s="5"/>
    </row>
    <row r="458" spans="1:87" ht="15" customHeight="1">
      <c r="A458" s="136"/>
      <c r="B458" s="261">
        <f t="shared" si="51"/>
        <v>12</v>
      </c>
      <c r="C458" s="262" t="s">
        <v>96</v>
      </c>
      <c r="D458" s="263">
        <f t="shared" si="46"/>
        <v>13</v>
      </c>
      <c r="E458" s="909">
        <f t="shared" si="47"/>
        <v>1</v>
      </c>
      <c r="F458" s="909"/>
      <c r="G458" s="910">
        <f t="shared" si="48"/>
        <v>4.5999999999999996</v>
      </c>
      <c r="H458" s="910"/>
      <c r="I458" s="910"/>
      <c r="J458" s="912">
        <f t="shared" si="49"/>
        <v>31000</v>
      </c>
      <c r="K458" s="912"/>
      <c r="L458" s="912"/>
      <c r="M458" s="906">
        <f t="shared" si="50"/>
        <v>0.48412698412698418</v>
      </c>
      <c r="N458" s="906"/>
      <c r="O458" s="907">
        <f t="shared" si="44"/>
        <v>1.56E-5</v>
      </c>
      <c r="P458" s="907"/>
      <c r="Q458" s="908"/>
      <c r="S458" s="264"/>
      <c r="T458" s="264"/>
      <c r="U458" s="264"/>
      <c r="V458" s="264"/>
      <c r="X458" s="264"/>
      <c r="Y458" s="264"/>
      <c r="Z458" s="264"/>
      <c r="AD458" s="41">
        <f t="shared" si="52"/>
        <v>14</v>
      </c>
      <c r="AE458" s="341" t="str">
        <f t="shared" si="41"/>
        <v>~</v>
      </c>
      <c r="AF458" s="342">
        <f t="shared" si="41"/>
        <v>15</v>
      </c>
      <c r="AG458" s="1426">
        <f t="shared" si="45"/>
        <v>1</v>
      </c>
      <c r="AH458" s="1426"/>
      <c r="AI458" s="334"/>
      <c r="AJ458" s="26">
        <f t="shared" si="42"/>
        <v>36000</v>
      </c>
      <c r="AK458" s="339">
        <f t="shared" si="39"/>
        <v>0.40476190476190482</v>
      </c>
      <c r="AL458" s="1624"/>
      <c r="AM458" s="1625"/>
      <c r="AN458" s="1380">
        <f t="shared" si="40"/>
        <v>1.1243386243386245E-5</v>
      </c>
      <c r="AO458" s="1433"/>
      <c r="AQ458" s="28">
        <f>SUM(AG$444:AG457)+(AG458/2)</f>
        <v>6.6</v>
      </c>
      <c r="AR458" s="57"/>
      <c r="AS458" s="871">
        <v>15</v>
      </c>
      <c r="AT458" s="871"/>
      <c r="AU458" s="1606">
        <f t="shared" si="43"/>
        <v>57</v>
      </c>
      <c r="AV458" s="1607"/>
      <c r="BH458" s="15"/>
      <c r="BI458" s="15"/>
      <c r="BJ458" s="15"/>
      <c r="BK458" s="15"/>
      <c r="BL458" s="15"/>
      <c r="BZ458" s="5"/>
      <c r="CA458" s="5"/>
      <c r="CB458" s="5"/>
      <c r="CC458" s="5"/>
      <c r="CD458" s="5"/>
      <c r="CE458" s="5"/>
      <c r="CF458" s="5"/>
    </row>
    <row r="459" spans="1:87" ht="15" customHeight="1">
      <c r="A459" s="136"/>
      <c r="B459" s="261">
        <f t="shared" si="51"/>
        <v>13</v>
      </c>
      <c r="C459" s="262" t="s">
        <v>96</v>
      </c>
      <c r="D459" s="263">
        <f t="shared" si="46"/>
        <v>14</v>
      </c>
      <c r="E459" s="909">
        <f t="shared" si="47"/>
        <v>1</v>
      </c>
      <c r="F459" s="909"/>
      <c r="G459" s="910">
        <f t="shared" si="48"/>
        <v>5.6</v>
      </c>
      <c r="H459" s="910"/>
      <c r="I459" s="910"/>
      <c r="J459" s="912">
        <f t="shared" si="49"/>
        <v>33000</v>
      </c>
      <c r="K459" s="912"/>
      <c r="L459" s="912"/>
      <c r="M459" s="906">
        <f t="shared" si="50"/>
        <v>0.44444444444444448</v>
      </c>
      <c r="N459" s="906"/>
      <c r="O459" s="907">
        <f t="shared" si="44"/>
        <v>1.3499999999999999E-5</v>
      </c>
      <c r="P459" s="907"/>
      <c r="Q459" s="908"/>
      <c r="S459" s="264"/>
      <c r="T459" s="264"/>
      <c r="U459" s="264"/>
      <c r="V459" s="264"/>
      <c r="X459" s="264"/>
      <c r="Y459" s="264"/>
      <c r="Z459" s="264"/>
      <c r="AD459" s="41">
        <f t="shared" si="52"/>
        <v>15</v>
      </c>
      <c r="AE459" s="341" t="str">
        <f t="shared" si="41"/>
        <v>~</v>
      </c>
      <c r="AF459" s="342">
        <f t="shared" si="41"/>
        <v>16</v>
      </c>
      <c r="AG459" s="1426">
        <f t="shared" si="45"/>
        <v>1</v>
      </c>
      <c r="AH459" s="1426"/>
      <c r="AI459" s="334"/>
      <c r="AJ459" s="26">
        <f t="shared" si="42"/>
        <v>49000</v>
      </c>
      <c r="AK459" s="339">
        <f t="shared" si="39"/>
        <v>0.36507936507936511</v>
      </c>
      <c r="AL459" s="1624"/>
      <c r="AM459" s="1625"/>
      <c r="AN459" s="1380">
        <f t="shared" si="40"/>
        <v>7.4505992873339816E-6</v>
      </c>
      <c r="AO459" s="1433"/>
      <c r="AQ459" s="28">
        <f>SUM(AG$444:AG458)+(AG459/2)</f>
        <v>7.6</v>
      </c>
      <c r="AR459" s="57"/>
      <c r="AS459" s="871">
        <v>16</v>
      </c>
      <c r="AT459" s="871"/>
      <c r="AU459" s="1606">
        <f t="shared" si="43"/>
        <v>83</v>
      </c>
      <c r="AV459" s="1607"/>
      <c r="BH459" s="15"/>
      <c r="BI459" s="15"/>
      <c r="BJ459" s="15"/>
      <c r="BK459" s="15"/>
      <c r="BL459" s="15"/>
      <c r="BZ459" s="5"/>
      <c r="CA459" s="5"/>
      <c r="CB459" s="5"/>
      <c r="CC459" s="5"/>
      <c r="CD459" s="5"/>
      <c r="CE459" s="5"/>
    </row>
    <row r="460" spans="1:87" ht="15" customHeight="1">
      <c r="A460" s="136"/>
      <c r="B460" s="261">
        <f t="shared" si="51"/>
        <v>14</v>
      </c>
      <c r="C460" s="262" t="s">
        <v>96</v>
      </c>
      <c r="D460" s="263">
        <f t="shared" si="46"/>
        <v>15</v>
      </c>
      <c r="E460" s="909">
        <f t="shared" si="47"/>
        <v>1</v>
      </c>
      <c r="F460" s="909"/>
      <c r="G460" s="910">
        <f t="shared" si="48"/>
        <v>6.6</v>
      </c>
      <c r="H460" s="910"/>
      <c r="I460" s="910"/>
      <c r="J460" s="912">
        <f t="shared" si="49"/>
        <v>36000</v>
      </c>
      <c r="K460" s="912"/>
      <c r="L460" s="912"/>
      <c r="M460" s="906">
        <f t="shared" si="50"/>
        <v>0.40476190476190482</v>
      </c>
      <c r="N460" s="906"/>
      <c r="O460" s="907">
        <f t="shared" si="44"/>
        <v>1.1199999999999999E-5</v>
      </c>
      <c r="P460" s="907"/>
      <c r="Q460" s="908"/>
      <c r="S460" s="264"/>
      <c r="T460" s="264"/>
      <c r="U460" s="264"/>
      <c r="V460" s="264"/>
      <c r="X460" s="264"/>
      <c r="Y460" s="264"/>
      <c r="Z460" s="264"/>
      <c r="AD460" s="41">
        <f t="shared" si="52"/>
        <v>16</v>
      </c>
      <c r="AE460" s="341" t="str">
        <f t="shared" si="41"/>
        <v>~</v>
      </c>
      <c r="AF460" s="342">
        <f t="shared" si="41"/>
        <v>17</v>
      </c>
      <c r="AG460" s="1426">
        <f t="shared" si="45"/>
        <v>1</v>
      </c>
      <c r="AH460" s="1426"/>
      <c r="AI460" s="334"/>
      <c r="AJ460" s="26">
        <f t="shared" si="42"/>
        <v>54000</v>
      </c>
      <c r="AK460" s="339">
        <f t="shared" si="39"/>
        <v>0.32539682539682541</v>
      </c>
      <c r="AL460" s="1624"/>
      <c r="AM460" s="1625"/>
      <c r="AN460" s="1380">
        <f t="shared" si="40"/>
        <v>6.0258671369782481E-6</v>
      </c>
      <c r="AO460" s="1433"/>
      <c r="AQ460" s="28">
        <f>SUM(AG$444:AG459)+(AG460/2)</f>
        <v>8.6</v>
      </c>
      <c r="AR460" s="57"/>
      <c r="AS460" s="871">
        <v>17</v>
      </c>
      <c r="AT460" s="871"/>
      <c r="AU460" s="1606">
        <f t="shared" si="43"/>
        <v>93</v>
      </c>
      <c r="AV460" s="1607"/>
      <c r="BH460" s="15"/>
      <c r="BI460" s="15"/>
      <c r="BJ460" s="15"/>
      <c r="BK460" s="15"/>
      <c r="BL460" s="15"/>
      <c r="BZ460" s="5"/>
      <c r="CA460" s="5"/>
      <c r="CB460" s="5"/>
      <c r="CC460" s="5"/>
      <c r="CD460" s="5"/>
      <c r="CE460" s="5"/>
    </row>
    <row r="461" spans="1:87" ht="15" customHeight="1">
      <c r="A461" s="136"/>
      <c r="B461" s="261">
        <f t="shared" si="51"/>
        <v>15</v>
      </c>
      <c r="C461" s="262" t="s">
        <v>96</v>
      </c>
      <c r="D461" s="263">
        <f t="shared" si="46"/>
        <v>16</v>
      </c>
      <c r="E461" s="909">
        <f t="shared" si="47"/>
        <v>1</v>
      </c>
      <c r="F461" s="909"/>
      <c r="G461" s="910">
        <f t="shared" si="48"/>
        <v>7.6</v>
      </c>
      <c r="H461" s="910"/>
      <c r="I461" s="910"/>
      <c r="J461" s="912">
        <f t="shared" si="49"/>
        <v>49000</v>
      </c>
      <c r="K461" s="912"/>
      <c r="L461" s="912"/>
      <c r="M461" s="906">
        <f t="shared" si="50"/>
        <v>0.36507936507936511</v>
      </c>
      <c r="N461" s="906"/>
      <c r="O461" s="907">
        <f t="shared" si="44"/>
        <v>7.5000000000000002E-6</v>
      </c>
      <c r="P461" s="907"/>
      <c r="Q461" s="908"/>
      <c r="S461" s="264"/>
      <c r="T461" s="264"/>
      <c r="U461" s="264"/>
      <c r="V461" s="264"/>
      <c r="X461" s="264"/>
      <c r="Y461" s="264"/>
      <c r="Z461" s="264"/>
      <c r="AD461" s="41">
        <f t="shared" si="52"/>
        <v>17</v>
      </c>
      <c r="AE461" s="341" t="str">
        <f t="shared" si="52"/>
        <v>~</v>
      </c>
      <c r="AF461" s="342">
        <f t="shared" si="52"/>
        <v>18</v>
      </c>
      <c r="AG461" s="1426">
        <f t="shared" si="45"/>
        <v>1</v>
      </c>
      <c r="AH461" s="1426"/>
      <c r="AI461" s="334"/>
      <c r="AJ461" s="26">
        <f t="shared" si="42"/>
        <v>70000</v>
      </c>
      <c r="AK461" s="339">
        <f t="shared" si="39"/>
        <v>0.28571428571428575</v>
      </c>
      <c r="AL461" s="1624"/>
      <c r="AM461" s="1625"/>
      <c r="AN461" s="1380">
        <f t="shared" si="40"/>
        <v>4.081632653061225E-6</v>
      </c>
      <c r="AO461" s="1433"/>
      <c r="AQ461" s="28">
        <f>SUM(AG$444:AG460)+(AG461/2)</f>
        <v>9.6</v>
      </c>
      <c r="AR461" s="57"/>
      <c r="AS461" s="871">
        <v>18</v>
      </c>
      <c r="AT461" s="871"/>
      <c r="AU461" s="1606">
        <f t="shared" si="43"/>
        <v>125</v>
      </c>
      <c r="AV461" s="1607"/>
      <c r="BH461" s="15"/>
      <c r="BI461" s="15"/>
      <c r="BJ461" s="15"/>
      <c r="BK461" s="15"/>
      <c r="BL461" s="15"/>
      <c r="BZ461" s="5"/>
      <c r="CA461" s="5"/>
      <c r="CB461" s="5"/>
      <c r="CC461" s="5"/>
      <c r="CD461" s="5"/>
      <c r="CE461" s="5"/>
    </row>
    <row r="462" spans="1:87" ht="15" customHeight="1">
      <c r="A462" s="136"/>
      <c r="B462" s="261">
        <f t="shared" si="51"/>
        <v>16</v>
      </c>
      <c r="C462" s="262" t="s">
        <v>96</v>
      </c>
      <c r="D462" s="263">
        <f t="shared" si="46"/>
        <v>17</v>
      </c>
      <c r="E462" s="909">
        <f t="shared" si="47"/>
        <v>1</v>
      </c>
      <c r="F462" s="909"/>
      <c r="G462" s="910">
        <f t="shared" si="48"/>
        <v>8.6</v>
      </c>
      <c r="H462" s="910"/>
      <c r="I462" s="910"/>
      <c r="J462" s="912">
        <f t="shared" si="49"/>
        <v>54000</v>
      </c>
      <c r="K462" s="912"/>
      <c r="L462" s="912"/>
      <c r="M462" s="906">
        <f t="shared" si="50"/>
        <v>0.32539682539682541</v>
      </c>
      <c r="N462" s="906"/>
      <c r="O462" s="907">
        <f t="shared" si="44"/>
        <v>6.0000000000000002E-6</v>
      </c>
      <c r="P462" s="907"/>
      <c r="Q462" s="908"/>
      <c r="S462" s="264"/>
      <c r="T462" s="264"/>
      <c r="U462" s="264"/>
      <c r="V462" s="264"/>
      <c r="X462" s="264"/>
      <c r="Y462" s="264"/>
      <c r="Z462" s="264"/>
      <c r="AD462" s="41">
        <f t="shared" si="52"/>
        <v>18</v>
      </c>
      <c r="AE462" s="341" t="str">
        <f t="shared" si="52"/>
        <v>~</v>
      </c>
      <c r="AF462" s="342">
        <f t="shared" si="52"/>
        <v>19</v>
      </c>
      <c r="AG462" s="1426">
        <f t="shared" si="45"/>
        <v>1</v>
      </c>
      <c r="AH462" s="1426"/>
      <c r="AI462" s="334"/>
      <c r="AJ462" s="26">
        <f t="shared" si="42"/>
        <v>70000</v>
      </c>
      <c r="AK462" s="339">
        <f t="shared" si="39"/>
        <v>0.24603174603174605</v>
      </c>
      <c r="AL462" s="1624"/>
      <c r="AM462" s="1625"/>
      <c r="AN462" s="1380">
        <f t="shared" si="40"/>
        <v>3.5147392290249433E-6</v>
      </c>
      <c r="AO462" s="1433"/>
      <c r="AQ462" s="28">
        <f>SUM(AG$444:AG461)+(AG462/2)</f>
        <v>10.6</v>
      </c>
      <c r="AR462" s="57"/>
      <c r="AS462" s="871">
        <v>19</v>
      </c>
      <c r="AT462" s="871"/>
      <c r="AU462" s="1606">
        <f t="shared" si="43"/>
        <v>125</v>
      </c>
      <c r="AV462" s="1607"/>
      <c r="BH462" s="15"/>
      <c r="BI462" s="15"/>
      <c r="BJ462" s="15"/>
      <c r="BK462" s="15"/>
      <c r="BL462" s="15"/>
      <c r="BZ462" s="5"/>
    </row>
    <row r="463" spans="1:87" ht="15" customHeight="1">
      <c r="A463" s="136"/>
      <c r="B463" s="261">
        <f t="shared" si="51"/>
        <v>17</v>
      </c>
      <c r="C463" s="262" t="s">
        <v>96</v>
      </c>
      <c r="D463" s="263">
        <f t="shared" si="46"/>
        <v>18</v>
      </c>
      <c r="E463" s="909">
        <f t="shared" si="47"/>
        <v>1</v>
      </c>
      <c r="F463" s="909"/>
      <c r="G463" s="910">
        <f t="shared" si="48"/>
        <v>9.6</v>
      </c>
      <c r="H463" s="910"/>
      <c r="I463" s="910"/>
      <c r="J463" s="912">
        <f t="shared" si="49"/>
        <v>70000</v>
      </c>
      <c r="K463" s="912"/>
      <c r="L463" s="912"/>
      <c r="M463" s="906">
        <f t="shared" si="50"/>
        <v>0.28571428571428575</v>
      </c>
      <c r="N463" s="906"/>
      <c r="O463" s="907">
        <f t="shared" si="44"/>
        <v>4.0999999999999997E-6</v>
      </c>
      <c r="P463" s="907"/>
      <c r="Q463" s="908"/>
      <c r="S463" s="264"/>
      <c r="T463" s="264"/>
      <c r="U463" s="264"/>
      <c r="V463" s="264"/>
      <c r="X463" s="264"/>
      <c r="Y463" s="264"/>
      <c r="Z463" s="264"/>
      <c r="AD463" s="41">
        <f t="shared" si="52"/>
        <v>19</v>
      </c>
      <c r="AE463" s="341" t="str">
        <f t="shared" si="52"/>
        <v>~</v>
      </c>
      <c r="AF463" s="342">
        <f t="shared" ref="AF463" si="53">+AF340</f>
        <v>20</v>
      </c>
      <c r="AG463" s="1426">
        <f t="shared" ref="AG463:AG465" si="54">+AF463-AD463</f>
        <v>1</v>
      </c>
      <c r="AH463" s="1426"/>
      <c r="AI463" s="334"/>
      <c r="AJ463" s="26">
        <f t="shared" si="42"/>
        <v>114500</v>
      </c>
      <c r="AK463" s="339">
        <f t="shared" si="39"/>
        <v>0.20634920634920637</v>
      </c>
      <c r="AL463" s="1624"/>
      <c r="AM463" s="1625"/>
      <c r="AN463" s="1380">
        <f t="shared" ref="AN463:AN465" si="55">IF(AK463&lt;0,0,+AK463*AG463/AJ463)</f>
        <v>1.8021764746655577E-6</v>
      </c>
      <c r="AO463" s="1433"/>
      <c r="AQ463" s="28">
        <f>SUM($AG$444:AG462)+(AG463/2)</f>
        <v>11.6</v>
      </c>
      <c r="AR463" s="57"/>
      <c r="AS463" s="871">
        <v>20</v>
      </c>
      <c r="AT463" s="871"/>
      <c r="AU463" s="1606">
        <f t="shared" si="43"/>
        <v>214</v>
      </c>
      <c r="AV463" s="1607"/>
      <c r="BH463" s="15"/>
      <c r="BI463" s="15"/>
      <c r="BJ463" s="15"/>
      <c r="BK463" s="15"/>
      <c r="BL463" s="15"/>
    </row>
    <row r="464" spans="1:87" ht="15" customHeight="1">
      <c r="A464" s="136"/>
      <c r="B464" s="343">
        <f t="shared" si="51"/>
        <v>18</v>
      </c>
      <c r="C464" s="344" t="s">
        <v>96</v>
      </c>
      <c r="D464" s="345">
        <v>19</v>
      </c>
      <c r="E464" s="909">
        <f t="shared" si="47"/>
        <v>1</v>
      </c>
      <c r="F464" s="909"/>
      <c r="G464" s="910">
        <f t="shared" si="48"/>
        <v>10.6</v>
      </c>
      <c r="H464" s="910"/>
      <c r="I464" s="910"/>
      <c r="J464" s="912">
        <f t="shared" si="49"/>
        <v>70000</v>
      </c>
      <c r="K464" s="912"/>
      <c r="L464" s="912"/>
      <c r="M464" s="906">
        <f t="shared" si="50"/>
        <v>0.24603174603174605</v>
      </c>
      <c r="N464" s="906"/>
      <c r="O464" s="907">
        <f t="shared" si="44"/>
        <v>3.4999999999999999E-6</v>
      </c>
      <c r="P464" s="907"/>
      <c r="Q464" s="908"/>
      <c r="S464" s="264"/>
      <c r="T464" s="264"/>
      <c r="U464" s="264"/>
      <c r="V464" s="264"/>
      <c r="X464" s="264"/>
      <c r="Y464" s="264"/>
      <c r="Z464" s="264"/>
      <c r="AD464" s="41">
        <f t="shared" si="52"/>
        <v>20</v>
      </c>
      <c r="AE464" s="341" t="str">
        <f t="shared" si="52"/>
        <v>~</v>
      </c>
      <c r="AF464" s="342">
        <f t="shared" ref="AF464" si="56">+AF341</f>
        <v>21</v>
      </c>
      <c r="AG464" s="1426">
        <f t="shared" si="54"/>
        <v>1</v>
      </c>
      <c r="AH464" s="1426"/>
      <c r="AI464" s="334"/>
      <c r="AJ464" s="26">
        <f t="shared" si="42"/>
        <v>264000</v>
      </c>
      <c r="AK464" s="339">
        <f t="shared" si="39"/>
        <v>0.16666666666666666</v>
      </c>
      <c r="AL464" s="1624"/>
      <c r="AM464" s="1625"/>
      <c r="AN464" s="1380">
        <f t="shared" si="55"/>
        <v>6.3131313131313123E-7</v>
      </c>
      <c r="AO464" s="1433"/>
      <c r="AQ464" s="28">
        <f>SUM($AG$444:AG463)+(AG464/2)</f>
        <v>12.6</v>
      </c>
      <c r="AR464" s="57"/>
      <c r="AS464" s="871">
        <v>21</v>
      </c>
      <c r="AT464" s="871"/>
      <c r="AU464" s="1606">
        <f t="shared" si="43"/>
        <v>214</v>
      </c>
      <c r="AV464" s="1607"/>
      <c r="BH464" s="15"/>
      <c r="BI464" s="15"/>
      <c r="BJ464" s="15"/>
      <c r="BK464" s="15"/>
      <c r="BL464" s="15"/>
      <c r="CG464" s="5"/>
      <c r="CH464" s="5"/>
      <c r="CI464" s="5"/>
    </row>
    <row r="465" spans="1:87" ht="15" customHeight="1">
      <c r="A465" s="136"/>
      <c r="B465" s="343">
        <f t="shared" si="51"/>
        <v>19</v>
      </c>
      <c r="C465" s="344" t="s">
        <v>96</v>
      </c>
      <c r="D465" s="408">
        <v>20</v>
      </c>
      <c r="E465" s="909">
        <f t="shared" ref="E465:E467" si="57">+D465-B465</f>
        <v>1</v>
      </c>
      <c r="F465" s="909"/>
      <c r="G465" s="910">
        <f t="shared" ref="G465:G467" si="58">+AQ463</f>
        <v>11.6</v>
      </c>
      <c r="H465" s="910"/>
      <c r="I465" s="910"/>
      <c r="J465" s="912">
        <f t="shared" ref="J465:J467" si="59">+AJ463</f>
        <v>114500</v>
      </c>
      <c r="K465" s="912"/>
      <c r="L465" s="912"/>
      <c r="M465" s="906">
        <f t="shared" ref="M465:M467" si="60">+AK463</f>
        <v>0.20634920634920637</v>
      </c>
      <c r="N465" s="906"/>
      <c r="O465" s="907">
        <f t="shared" ref="O465:O467" si="61">IF(M465&lt;0,0,ROUND(M465*E465/J465,7))</f>
        <v>1.7999999999999999E-6</v>
      </c>
      <c r="P465" s="907"/>
      <c r="Q465" s="908"/>
      <c r="S465" s="264"/>
      <c r="T465" s="264"/>
      <c r="U465" s="264"/>
      <c r="V465" s="264"/>
      <c r="X465" s="264"/>
      <c r="Y465" s="264"/>
      <c r="Z465" s="264"/>
      <c r="AD465" s="41">
        <f t="shared" si="52"/>
        <v>21</v>
      </c>
      <c r="AE465" s="341" t="str">
        <f t="shared" si="52"/>
        <v>~</v>
      </c>
      <c r="AF465" s="342">
        <f t="shared" ref="AF465" si="62">+AF342</f>
        <v>22</v>
      </c>
      <c r="AG465" s="1426">
        <f t="shared" si="54"/>
        <v>1</v>
      </c>
      <c r="AH465" s="1426"/>
      <c r="AI465" s="334"/>
      <c r="AJ465" s="26">
        <f t="shared" si="42"/>
        <v>264000</v>
      </c>
      <c r="AK465" s="339">
        <f t="shared" si="39"/>
        <v>0.12698412698412706</v>
      </c>
      <c r="AL465" s="1624"/>
      <c r="AM465" s="1625"/>
      <c r="AN465" s="1380">
        <f t="shared" si="55"/>
        <v>4.810004810004813E-7</v>
      </c>
      <c r="AO465" s="1433"/>
      <c r="AQ465" s="28">
        <f>SUM($AG$444:AG464)+(AG465/2)</f>
        <v>13.6</v>
      </c>
      <c r="AR465" s="57"/>
      <c r="AS465" s="871">
        <v>22</v>
      </c>
      <c r="AT465" s="871"/>
      <c r="AU465" s="1606">
        <f t="shared" si="43"/>
        <v>214</v>
      </c>
      <c r="AV465" s="1607"/>
      <c r="BH465" s="15"/>
      <c r="BI465" s="15"/>
      <c r="BJ465" s="15"/>
      <c r="BK465" s="15"/>
      <c r="BL465" s="15"/>
      <c r="CF465" s="5"/>
      <c r="CG465" s="5"/>
      <c r="CH465" s="5"/>
      <c r="CI465" s="5"/>
    </row>
    <row r="466" spans="1:87" ht="15" customHeight="1">
      <c r="A466" s="136"/>
      <c r="B466" s="343">
        <f t="shared" si="51"/>
        <v>20</v>
      </c>
      <c r="C466" s="344" t="s">
        <v>96</v>
      </c>
      <c r="D466" s="408">
        <v>21</v>
      </c>
      <c r="E466" s="909">
        <f t="shared" si="57"/>
        <v>1</v>
      </c>
      <c r="F466" s="909"/>
      <c r="G466" s="910">
        <f t="shared" si="58"/>
        <v>12.6</v>
      </c>
      <c r="H466" s="910"/>
      <c r="I466" s="910"/>
      <c r="J466" s="912">
        <f t="shared" si="59"/>
        <v>264000</v>
      </c>
      <c r="K466" s="912"/>
      <c r="L466" s="912"/>
      <c r="M466" s="906">
        <f t="shared" si="60"/>
        <v>0.16666666666666666</v>
      </c>
      <c r="N466" s="906"/>
      <c r="O466" s="907">
        <f t="shared" si="61"/>
        <v>5.9999999999999997E-7</v>
      </c>
      <c r="P466" s="907"/>
      <c r="Q466" s="908"/>
      <c r="S466" s="264"/>
      <c r="T466" s="264"/>
      <c r="U466" s="264"/>
      <c r="V466" s="264"/>
      <c r="X466" s="264"/>
      <c r="Y466" s="264"/>
      <c r="Z466" s="264"/>
      <c r="AD466" s="41"/>
      <c r="AE466" s="341" t="str">
        <f t="shared" si="52"/>
        <v>~</v>
      </c>
      <c r="AF466" s="342">
        <f t="shared" ref="AF466" si="63">+AF343</f>
        <v>0</v>
      </c>
      <c r="AG466" s="1426"/>
      <c r="AH466" s="1426"/>
      <c r="AI466" s="334"/>
      <c r="AJ466" s="335"/>
      <c r="AK466" s="339"/>
      <c r="AL466" s="1624"/>
      <c r="AM466" s="1625"/>
      <c r="AN466" s="1380"/>
      <c r="AO466" s="1433"/>
      <c r="AQ466" s="28">
        <f>SUM($AG$444:AG465)+(AG466/2)</f>
        <v>14.1</v>
      </c>
      <c r="AR466" s="57"/>
      <c r="AS466" s="871">
        <v>23</v>
      </c>
      <c r="AT466" s="871"/>
      <c r="AU466" s="1606">
        <f t="shared" si="43"/>
        <v>0</v>
      </c>
      <c r="AV466" s="1607"/>
      <c r="BH466" s="15"/>
      <c r="BI466" s="15"/>
      <c r="BJ466" s="15"/>
      <c r="BK466" s="15"/>
      <c r="BL466" s="15"/>
      <c r="CF466" s="5"/>
      <c r="CG466" s="5"/>
      <c r="CH466" s="5"/>
      <c r="CI466" s="5"/>
    </row>
    <row r="467" spans="1:87" ht="15" customHeight="1">
      <c r="A467" s="136"/>
      <c r="B467" s="343">
        <f t="shared" si="51"/>
        <v>21</v>
      </c>
      <c r="C467" s="344" t="s">
        <v>96</v>
      </c>
      <c r="D467" s="408">
        <v>22</v>
      </c>
      <c r="E467" s="909">
        <f t="shared" si="57"/>
        <v>1</v>
      </c>
      <c r="F467" s="909"/>
      <c r="G467" s="910">
        <f t="shared" si="58"/>
        <v>13.6</v>
      </c>
      <c r="H467" s="910"/>
      <c r="I467" s="910"/>
      <c r="J467" s="912">
        <f t="shared" si="59"/>
        <v>264000</v>
      </c>
      <c r="K467" s="912"/>
      <c r="L467" s="912"/>
      <c r="M467" s="906">
        <f t="shared" si="60"/>
        <v>0.12698412698412706</v>
      </c>
      <c r="N467" s="906"/>
      <c r="O467" s="907">
        <f t="shared" si="61"/>
        <v>4.9999999999999998E-7</v>
      </c>
      <c r="P467" s="907"/>
      <c r="Q467" s="908"/>
      <c r="S467" s="264"/>
      <c r="T467" s="264"/>
      <c r="U467" s="264"/>
      <c r="V467" s="264"/>
      <c r="X467" s="264"/>
      <c r="Y467" s="264"/>
      <c r="Z467" s="264"/>
      <c r="AD467" s="41">
        <f t="shared" ref="AD467:AE470" si="64">+AD344</f>
        <v>0</v>
      </c>
      <c r="AE467" s="341" t="str">
        <f t="shared" si="64"/>
        <v>~</v>
      </c>
      <c r="AF467" s="342"/>
      <c r="AG467" s="1426"/>
      <c r="AH467" s="1426"/>
      <c r="AI467" s="334"/>
      <c r="AJ467" s="335"/>
      <c r="AK467" s="339"/>
      <c r="AL467" s="1624"/>
      <c r="AM467" s="1625"/>
      <c r="AN467" s="1380"/>
      <c r="AO467" s="1433"/>
      <c r="AQ467" s="28">
        <f>SUM($AG$444:AG466)+(AG467/2)</f>
        <v>14.1</v>
      </c>
      <c r="AR467" s="57"/>
      <c r="AS467" s="871">
        <v>24</v>
      </c>
      <c r="AT467" s="871"/>
      <c r="AU467" s="1606">
        <f t="shared" si="43"/>
        <v>0</v>
      </c>
      <c r="AV467" s="1607"/>
      <c r="AX467" s="15"/>
      <c r="AY467" s="16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3"/>
      <c r="CF467" s="5"/>
      <c r="CG467" s="5"/>
      <c r="CH467" s="5"/>
      <c r="CI467" s="5"/>
    </row>
    <row r="468" spans="1:87" ht="15" customHeight="1" thickBot="1">
      <c r="A468" s="136"/>
      <c r="B468" s="406"/>
      <c r="C468" s="407"/>
      <c r="D468" s="408"/>
      <c r="E468" s="1616"/>
      <c r="F468" s="1617"/>
      <c r="G468" s="1618"/>
      <c r="H468" s="1619"/>
      <c r="I468" s="1620"/>
      <c r="J468" s="1621"/>
      <c r="K468" s="1622"/>
      <c r="L468" s="1623"/>
      <c r="M468" s="1581"/>
      <c r="N468" s="1582"/>
      <c r="O468" s="1583"/>
      <c r="P468" s="1584"/>
      <c r="Q468" s="1585"/>
      <c r="S468" s="264"/>
      <c r="T468" s="264"/>
      <c r="U468" s="264"/>
      <c r="V468" s="264"/>
      <c r="X468" s="264"/>
      <c r="Y468" s="264"/>
      <c r="Z468" s="264"/>
      <c r="AD468" s="41">
        <f t="shared" si="64"/>
        <v>0</v>
      </c>
      <c r="AE468" s="341" t="str">
        <f t="shared" si="64"/>
        <v>~</v>
      </c>
      <c r="AF468" s="342"/>
      <c r="AG468" s="1426"/>
      <c r="AH468" s="1426"/>
      <c r="AI468" s="334"/>
      <c r="AJ468" s="335"/>
      <c r="AK468" s="339"/>
      <c r="AL468" s="1624"/>
      <c r="AM468" s="1625"/>
      <c r="AN468" s="1380"/>
      <c r="AO468" s="1433"/>
      <c r="AQ468" s="28">
        <f>SUM($AG$444:AG467)+(AG468/2)</f>
        <v>14.1</v>
      </c>
      <c r="AR468" s="57"/>
      <c r="AS468" s="871">
        <v>25</v>
      </c>
      <c r="AT468" s="871"/>
      <c r="AU468" s="1606">
        <f t="shared" si="43"/>
        <v>0</v>
      </c>
      <c r="AV468" s="1607"/>
      <c r="AX468" s="20"/>
      <c r="AY468" s="20"/>
      <c r="AZ468" s="20"/>
      <c r="BA468" s="20"/>
      <c r="BB468" s="20"/>
      <c r="BC468" s="21"/>
      <c r="BD468" s="21"/>
      <c r="BE468" s="21"/>
      <c r="BF468" s="21"/>
      <c r="BG468" s="21"/>
      <c r="BH468" s="20"/>
      <c r="BI468" s="20"/>
      <c r="BJ468" s="20"/>
      <c r="BK468" s="20"/>
      <c r="BL468" s="20"/>
      <c r="CF468" s="5"/>
    </row>
    <row r="469" spans="1:87" ht="15" customHeight="1" thickTop="1" thickBot="1">
      <c r="A469" s="136"/>
      <c r="B469" s="270"/>
      <c r="C469" s="271"/>
      <c r="D469" s="272"/>
      <c r="E469" s="1388"/>
      <c r="F469" s="1388"/>
      <c r="G469" s="1370"/>
      <c r="H469" s="1370"/>
      <c r="I469" s="1370"/>
      <c r="J469" s="1371"/>
      <c r="K469" s="1371"/>
      <c r="L469" s="1371"/>
      <c r="M469" s="1372" t="s">
        <v>301</v>
      </c>
      <c r="N469" s="1372"/>
      <c r="O469" s="1373">
        <f>SUM(O446:Q468)</f>
        <v>1.1800000000000002E-4</v>
      </c>
      <c r="P469" s="1373">
        <f>SUM(P446:V464)</f>
        <v>0</v>
      </c>
      <c r="Q469" s="1374"/>
      <c r="S469" s="273"/>
      <c r="T469" s="273"/>
      <c r="U469" s="273"/>
      <c r="V469" s="273"/>
      <c r="X469" s="273"/>
      <c r="Y469" s="273"/>
      <c r="Z469" s="273"/>
      <c r="AD469" s="41">
        <f t="shared" si="64"/>
        <v>0</v>
      </c>
      <c r="AE469" s="341" t="str">
        <f t="shared" si="64"/>
        <v>~</v>
      </c>
      <c r="AF469" s="342"/>
      <c r="AG469" s="1426"/>
      <c r="AH469" s="1426"/>
      <c r="AI469" s="334"/>
      <c r="AJ469" s="335"/>
      <c r="AK469" s="339"/>
      <c r="AL469" s="1624"/>
      <c r="AM469" s="1625"/>
      <c r="AN469" s="1380"/>
      <c r="AO469" s="1433"/>
      <c r="AQ469" s="28">
        <f>SUM($AG$444:AG468)+(AG469/2)</f>
        <v>14.1</v>
      </c>
      <c r="AR469" s="57"/>
      <c r="AS469" s="871">
        <v>26</v>
      </c>
      <c r="AT469" s="871"/>
      <c r="AU469" s="1606">
        <f t="shared" si="43"/>
        <v>0</v>
      </c>
      <c r="AV469" s="1607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Z469" s="5"/>
    </row>
    <row r="470" spans="1:87" ht="15" customHeight="1" thickTop="1">
      <c r="A470" s="136"/>
      <c r="B470" s="136"/>
      <c r="E470" s="258"/>
      <c r="F470" s="258"/>
      <c r="G470" s="258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AD470" s="41">
        <f t="shared" si="64"/>
        <v>0</v>
      </c>
      <c r="AE470" s="350" t="str">
        <f t="shared" si="64"/>
        <v>~</v>
      </c>
      <c r="AF470" s="351"/>
      <c r="AG470" s="1426"/>
      <c r="AH470" s="1426"/>
      <c r="AI470" s="334"/>
      <c r="AJ470" s="335"/>
      <c r="AK470" s="339"/>
      <c r="AL470" s="1624"/>
      <c r="AM470" s="1625"/>
      <c r="AN470" s="1380"/>
      <c r="AO470" s="1433"/>
      <c r="AQ470" s="28">
        <f>SUM($AG$444:AG469)+(AG470/2)</f>
        <v>14.1</v>
      </c>
      <c r="AR470" s="57"/>
      <c r="AS470" s="871">
        <v>27</v>
      </c>
      <c r="AT470" s="871"/>
      <c r="AU470" s="1606">
        <f t="shared" si="43"/>
        <v>0</v>
      </c>
      <c r="AV470" s="1607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  <c r="BK470" s="17"/>
      <c r="BL470" s="17"/>
      <c r="BZ470" s="5"/>
    </row>
    <row r="471" spans="1:87" ht="15" customHeight="1">
      <c r="A471" s="5"/>
      <c r="B471" s="5"/>
      <c r="C471" s="1376" t="s">
        <v>362</v>
      </c>
      <c r="D471" s="1377" t="s">
        <v>327</v>
      </c>
      <c r="E471" s="1375">
        <f>+T440</f>
        <v>0.5</v>
      </c>
      <c r="F471" s="1375"/>
      <c r="G471" s="1375"/>
      <c r="H471" s="1067" t="s">
        <v>249</v>
      </c>
      <c r="I471" s="1375">
        <f>+W440</f>
        <v>1.3397940008672038</v>
      </c>
      <c r="J471" s="1067" t="s">
        <v>249</v>
      </c>
      <c r="K471" s="1428">
        <f>+N440-Q440</f>
        <v>3.5999999999999943</v>
      </c>
      <c r="L471" s="1428"/>
      <c r="M471" s="1067" t="s">
        <v>249</v>
      </c>
      <c r="N471" s="1429">
        <f>+O469</f>
        <v>1.1800000000000002E-4</v>
      </c>
      <c r="O471" s="1429"/>
      <c r="P471" s="1429"/>
      <c r="Q471" s="1429" t="s">
        <v>328</v>
      </c>
      <c r="R471" s="1067" t="s">
        <v>249</v>
      </c>
      <c r="S471" s="1503">
        <v>1000</v>
      </c>
      <c r="T471" s="1503"/>
      <c r="U471" s="1067" t="s">
        <v>316</v>
      </c>
      <c r="V471" s="1614">
        <f>(E471*I471*N471*K471)*S471</f>
        <v>0.28457224578419371</v>
      </c>
      <c r="W471" s="1614"/>
      <c r="X471" s="1614"/>
      <c r="Y471" s="1614"/>
      <c r="Z471" s="1615" t="s">
        <v>329</v>
      </c>
      <c r="AA471" s="1615"/>
      <c r="AB471" s="346"/>
      <c r="AD471" s="41"/>
      <c r="AE471" s="350"/>
      <c r="AF471" s="351"/>
      <c r="AG471" s="1426"/>
      <c r="AH471" s="1426"/>
      <c r="AI471" s="334"/>
      <c r="AJ471" s="335"/>
      <c r="AK471" s="339"/>
      <c r="AL471" s="1612"/>
      <c r="AM471" s="1613"/>
      <c r="AN471" s="1380"/>
      <c r="AO471" s="1433"/>
      <c r="AQ471" s="28"/>
      <c r="AR471" s="57"/>
      <c r="AS471" s="871"/>
      <c r="AT471" s="871"/>
      <c r="AU471" s="1606"/>
      <c r="AV471" s="1607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Z471" s="5"/>
    </row>
    <row r="472" spans="1:87" ht="15" customHeight="1">
      <c r="A472" s="5"/>
      <c r="B472" s="5"/>
      <c r="C472" s="1376"/>
      <c r="D472" s="1376"/>
      <c r="E472" s="1375"/>
      <c r="F472" s="1375"/>
      <c r="G472" s="1375"/>
      <c r="H472" s="1067" t="s">
        <v>249</v>
      </c>
      <c r="I472" s="1375"/>
      <c r="J472" s="1067" t="s">
        <v>249</v>
      </c>
      <c r="K472" s="1428"/>
      <c r="L472" s="1428"/>
      <c r="M472" s="1067" t="s">
        <v>249</v>
      </c>
      <c r="N472" s="1429"/>
      <c r="O472" s="1429"/>
      <c r="P472" s="1429"/>
      <c r="Q472" s="1429" t="s">
        <v>249</v>
      </c>
      <c r="R472" s="1067" t="s">
        <v>249</v>
      </c>
      <c r="S472" s="1503"/>
      <c r="T472" s="1503"/>
      <c r="U472" s="1067"/>
      <c r="V472" s="1614"/>
      <c r="W472" s="1614"/>
      <c r="X472" s="1614"/>
      <c r="Y472" s="1614"/>
      <c r="Z472" s="1615"/>
      <c r="AA472" s="1615"/>
      <c r="AB472" s="346"/>
      <c r="AD472" s="41"/>
      <c r="AE472" s="350"/>
      <c r="AF472" s="351"/>
      <c r="AG472" s="865"/>
      <c r="AH472" s="866"/>
      <c r="AI472" s="334"/>
      <c r="AJ472" s="358"/>
      <c r="AK472" s="339"/>
      <c r="AL472" s="1612"/>
      <c r="AM472" s="1613"/>
      <c r="AN472" s="1380"/>
      <c r="AO472" s="1433"/>
      <c r="AQ472" s="28"/>
      <c r="AR472" s="57"/>
      <c r="AS472" s="871"/>
      <c r="AT472" s="871"/>
      <c r="AU472" s="1606"/>
      <c r="AV472" s="1607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Z472" s="5"/>
    </row>
    <row r="473" spans="1:87" ht="15" customHeight="1">
      <c r="A473" s="5"/>
      <c r="B473" s="5"/>
      <c r="C473" s="125"/>
      <c r="D473" s="125"/>
      <c r="E473" s="296"/>
      <c r="F473" s="296"/>
      <c r="G473" s="296"/>
      <c r="H473" s="296"/>
      <c r="I473" s="296"/>
      <c r="J473" s="296"/>
      <c r="K473" s="300"/>
      <c r="L473" s="300"/>
      <c r="M473" s="296"/>
      <c r="N473" s="301"/>
      <c r="O473" s="301"/>
      <c r="P473" s="301"/>
      <c r="Q473" s="301"/>
      <c r="R473" s="296"/>
      <c r="S473" s="302"/>
      <c r="T473" s="302"/>
      <c r="U473" s="302"/>
      <c r="V473" s="301"/>
      <c r="W473" s="125"/>
      <c r="X473" s="347"/>
      <c r="Y473" s="347"/>
      <c r="Z473" s="347"/>
      <c r="AA473" s="348"/>
      <c r="AB473" s="349"/>
      <c r="AD473" s="41"/>
      <c r="AE473" s="350"/>
      <c r="AF473" s="351"/>
      <c r="AG473" s="865"/>
      <c r="AH473" s="866"/>
      <c r="AI473" s="334"/>
      <c r="AJ473" s="358"/>
      <c r="AK473" s="339"/>
      <c r="AL473" s="1610"/>
      <c r="AM473" s="1611"/>
      <c r="AN473" s="1380"/>
      <c r="AO473" s="1433"/>
      <c r="AQ473" s="28"/>
      <c r="AR473" s="57"/>
      <c r="AS473" s="871"/>
      <c r="AT473" s="871"/>
      <c r="AU473" s="1606"/>
      <c r="AV473" s="1607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</row>
    <row r="474" spans="1:87" ht="15" customHeight="1">
      <c r="A474" s="5"/>
      <c r="B474" s="5"/>
      <c r="C474" s="125" t="s">
        <v>372</v>
      </c>
      <c r="D474" s="125"/>
      <c r="E474" s="296"/>
      <c r="F474" s="296"/>
      <c r="G474" s="296"/>
      <c r="H474" s="296"/>
      <c r="I474" s="296"/>
      <c r="J474" s="296"/>
      <c r="K474" s="300"/>
      <c r="L474" s="300"/>
      <c r="M474" s="296"/>
      <c r="N474" s="301"/>
      <c r="O474" s="301"/>
      <c r="P474" s="301"/>
      <c r="Q474" s="301"/>
      <c r="R474" s="296"/>
      <c r="S474" s="302"/>
      <c r="T474" s="302"/>
      <c r="U474" s="302"/>
      <c r="V474" s="301"/>
      <c r="W474" s="125"/>
      <c r="X474" s="347"/>
      <c r="Y474" s="347"/>
      <c r="Z474" s="347"/>
      <c r="AA474" s="348"/>
      <c r="AB474" s="349"/>
      <c r="AD474" s="41"/>
      <c r="AE474" s="350"/>
      <c r="AF474" s="351"/>
      <c r="AG474" s="865"/>
      <c r="AH474" s="866"/>
      <c r="AI474" s="334"/>
      <c r="AJ474" s="358"/>
      <c r="AK474" s="339"/>
      <c r="AL474" s="1610"/>
      <c r="AM474" s="1611"/>
      <c r="AN474" s="1380"/>
      <c r="AO474" s="1433"/>
      <c r="AQ474" s="28"/>
      <c r="AR474" s="57"/>
      <c r="AS474" s="871"/>
      <c r="AT474" s="871"/>
      <c r="AU474" s="1606"/>
      <c r="AV474" s="1607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</row>
    <row r="475" spans="1:87" ht="15" customHeight="1">
      <c r="A475" s="5"/>
      <c r="B475" s="5"/>
      <c r="C475" s="1067" t="s">
        <v>373</v>
      </c>
      <c r="D475" s="1066" t="s">
        <v>90</v>
      </c>
      <c r="E475" s="1387" t="s">
        <v>374</v>
      </c>
      <c r="F475" s="1387"/>
      <c r="G475" s="1387"/>
      <c r="H475" s="1387"/>
      <c r="I475" s="1387"/>
      <c r="J475" s="353"/>
      <c r="K475" s="353"/>
      <c r="L475" s="353"/>
      <c r="M475" s="353"/>
      <c r="N475" s="301"/>
      <c r="O475" s="301"/>
      <c r="P475" s="354"/>
      <c r="Q475" s="300"/>
      <c r="R475" s="300"/>
      <c r="S475" s="302"/>
      <c r="T475" s="301"/>
      <c r="U475" s="125"/>
      <c r="V475" s="1376"/>
      <c r="W475" s="1505"/>
      <c r="X475" s="1505"/>
      <c r="Y475" s="1504"/>
      <c r="Z475" s="1504"/>
      <c r="AA475" s="85"/>
      <c r="AD475" s="41"/>
      <c r="AE475" s="350"/>
      <c r="AF475" s="351"/>
      <c r="AG475" s="865"/>
      <c r="AH475" s="866"/>
      <c r="AI475" s="334"/>
      <c r="AJ475" s="358"/>
      <c r="AK475" s="339"/>
      <c r="AL475" s="1610"/>
      <c r="AM475" s="1611"/>
      <c r="AN475" s="1380"/>
      <c r="AO475" s="1433"/>
      <c r="AQ475" s="28"/>
      <c r="AR475" s="57"/>
      <c r="AS475" s="871"/>
      <c r="AT475" s="871"/>
      <c r="AU475" s="1606"/>
      <c r="AV475" s="1607"/>
      <c r="AX475" s="20"/>
      <c r="AY475" s="20"/>
      <c r="AZ475" s="20"/>
      <c r="BA475" s="20"/>
      <c r="BB475" s="20"/>
      <c r="BC475" s="352"/>
      <c r="BD475" s="352"/>
      <c r="BE475" s="352"/>
      <c r="BF475" s="352"/>
      <c r="BG475" s="352"/>
      <c r="BH475" s="17"/>
      <c r="BI475" s="17"/>
      <c r="BJ475" s="17"/>
      <c r="BK475" s="17"/>
      <c r="BL475" s="17"/>
    </row>
    <row r="476" spans="1:87" ht="15" customHeight="1">
      <c r="A476" s="5"/>
      <c r="B476" s="5"/>
      <c r="C476" s="1067"/>
      <c r="D476" s="1066"/>
      <c r="E476" s="1391" t="s">
        <v>375</v>
      </c>
      <c r="F476" s="1391"/>
      <c r="G476" s="1391"/>
      <c r="H476" s="1391"/>
      <c r="I476" s="1391"/>
      <c r="J476" s="300"/>
      <c r="K476" s="296"/>
      <c r="L476" s="356"/>
      <c r="M476" s="354"/>
      <c r="N476" s="301"/>
      <c r="O476" s="301"/>
      <c r="P476" s="296"/>
      <c r="Q476" s="300"/>
      <c r="R476" s="357"/>
      <c r="S476" s="300"/>
      <c r="T476" s="301"/>
      <c r="U476" s="125"/>
      <c r="V476" s="1376"/>
      <c r="W476" s="1505"/>
      <c r="X476" s="1505"/>
      <c r="Y476" s="1504"/>
      <c r="Z476" s="1504"/>
      <c r="AA476" s="85"/>
      <c r="AD476" s="41"/>
      <c r="AE476" s="350"/>
      <c r="AF476" s="351"/>
      <c r="AG476" s="865"/>
      <c r="AH476" s="866"/>
      <c r="AI476" s="334"/>
      <c r="AJ476" s="358"/>
      <c r="AK476" s="339"/>
      <c r="AL476" s="1610"/>
      <c r="AM476" s="1611"/>
      <c r="AN476" s="1380"/>
      <c r="AO476" s="1433"/>
      <c r="AQ476" s="28"/>
      <c r="AR476" s="57"/>
      <c r="AS476" s="871"/>
      <c r="AT476" s="871"/>
      <c r="AU476" s="1606"/>
      <c r="AV476" s="1607"/>
      <c r="AX476" s="20"/>
      <c r="AY476" s="20"/>
      <c r="AZ476" s="20"/>
      <c r="BA476" s="20"/>
      <c r="BB476" s="20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</row>
    <row r="477" spans="1:87" ht="15" customHeight="1">
      <c r="A477" s="5"/>
      <c r="B477" s="5"/>
      <c r="C477" s="125"/>
      <c r="D477" s="296"/>
      <c r="E477" s="296"/>
      <c r="F477" s="296"/>
      <c r="G477" s="296"/>
      <c r="H477" s="296"/>
      <c r="I477" s="296"/>
      <c r="J477" s="300"/>
      <c r="K477" s="300"/>
      <c r="L477" s="296"/>
      <c r="M477" s="301"/>
      <c r="N477" s="301"/>
      <c r="O477" s="301"/>
      <c r="P477" s="301"/>
      <c r="Q477" s="296"/>
      <c r="R477" s="302"/>
      <c r="S477" s="302"/>
      <c r="T477" s="302"/>
      <c r="U477" s="301"/>
      <c r="V477" s="125"/>
      <c r="W477" s="347"/>
      <c r="X477" s="347"/>
      <c r="Y477" s="347"/>
      <c r="Z477" s="348"/>
      <c r="AA477" s="348"/>
      <c r="AB477" s="349"/>
      <c r="AD477" s="41"/>
      <c r="AE477" s="350"/>
      <c r="AF477" s="351"/>
      <c r="AG477" s="865"/>
      <c r="AH477" s="866"/>
      <c r="AI477" s="334"/>
      <c r="AJ477" s="358"/>
      <c r="AK477" s="339"/>
      <c r="AL477" s="1610"/>
      <c r="AM477" s="1611"/>
      <c r="AN477" s="1380"/>
      <c r="AO477" s="1433"/>
      <c r="AQ477" s="28"/>
      <c r="AR477" s="57"/>
      <c r="AS477" s="871"/>
      <c r="AT477" s="871"/>
      <c r="AU477" s="1606"/>
      <c r="AV477" s="1607"/>
      <c r="AX477" s="20"/>
      <c r="AY477" s="20"/>
      <c r="AZ477" s="20"/>
      <c r="BA477" s="20"/>
      <c r="BB477" s="20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</row>
    <row r="478" spans="1:87" ht="15" customHeight="1">
      <c r="A478" s="5"/>
      <c r="B478" s="5"/>
      <c r="C478" s="125"/>
      <c r="D478" s="1431" t="s">
        <v>90</v>
      </c>
      <c r="E478" s="359"/>
      <c r="F478" s="1551">
        <f>+K440</f>
        <v>150</v>
      </c>
      <c r="G478" s="1551"/>
      <c r="H478" s="1551"/>
      <c r="I478" s="361" t="s">
        <v>343</v>
      </c>
      <c r="J478" s="361" t="s">
        <v>357</v>
      </c>
      <c r="K478" s="362">
        <f>+B440</f>
        <v>8.4</v>
      </c>
      <c r="L478" s="360" t="s">
        <v>343</v>
      </c>
      <c r="M478" s="360">
        <f>+D440</f>
        <v>8.8000000000000007</v>
      </c>
      <c r="N478" s="363" t="s">
        <v>328</v>
      </c>
      <c r="O478" s="361"/>
      <c r="P478" s="125"/>
      <c r="Q478" s="1376" t="s">
        <v>316</v>
      </c>
      <c r="R478" s="1505">
        <f>ROUND(F478*(K478*M478)/((F479+H479)*(L479+N479)),1)</f>
        <v>134</v>
      </c>
      <c r="S478" s="1505"/>
      <c r="T478" s="1504" t="s">
        <v>376</v>
      </c>
      <c r="U478" s="1504"/>
      <c r="V478" s="125"/>
      <c r="W478" s="347"/>
      <c r="X478" s="347"/>
      <c r="Y478" s="347"/>
      <c r="Z478" s="348"/>
      <c r="AA478" s="348"/>
      <c r="AB478" s="349"/>
      <c r="AD478" s="41"/>
      <c r="AE478" s="350"/>
      <c r="AF478" s="351"/>
      <c r="AG478" s="865"/>
      <c r="AH478" s="866"/>
      <c r="AI478" s="334"/>
      <c r="AJ478" s="358"/>
      <c r="AK478" s="339"/>
      <c r="AL478" s="1610"/>
      <c r="AM478" s="1611"/>
      <c r="AN478" s="1380"/>
      <c r="AO478" s="1433"/>
      <c r="AQ478" s="28"/>
      <c r="AR478" s="57"/>
      <c r="AS478" s="871"/>
      <c r="AT478" s="871"/>
      <c r="AU478" s="1606"/>
      <c r="AV478" s="1607"/>
      <c r="AW478" s="364"/>
      <c r="AX478" s="20"/>
      <c r="AY478" s="20"/>
      <c r="AZ478" s="20"/>
      <c r="BA478" s="20"/>
      <c r="BB478" s="20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</row>
    <row r="479" spans="1:87" ht="15" customHeight="1">
      <c r="A479" s="5"/>
      <c r="B479" s="5"/>
      <c r="C479" s="125"/>
      <c r="D479" s="1428"/>
      <c r="E479" s="300" t="s">
        <v>357</v>
      </c>
      <c r="F479" s="296">
        <f>+B440</f>
        <v>8.4</v>
      </c>
      <c r="G479" s="356" t="s">
        <v>248</v>
      </c>
      <c r="H479" s="354">
        <f>+G426/1000</f>
        <v>0.5</v>
      </c>
      <c r="I479" s="301" t="s">
        <v>328</v>
      </c>
      <c r="J479" s="301" t="s">
        <v>343</v>
      </c>
      <c r="K479" s="296" t="s">
        <v>357</v>
      </c>
      <c r="L479" s="300">
        <f>+D440</f>
        <v>8.8000000000000007</v>
      </c>
      <c r="M479" s="357" t="s">
        <v>248</v>
      </c>
      <c r="N479" s="300">
        <f>+G426/1000</f>
        <v>0.5</v>
      </c>
      <c r="O479" s="301" t="s">
        <v>328</v>
      </c>
      <c r="P479" s="125"/>
      <c r="Q479" s="1376"/>
      <c r="R479" s="1505"/>
      <c r="S479" s="1505"/>
      <c r="T479" s="1504"/>
      <c r="U479" s="1504"/>
      <c r="V479" s="125"/>
      <c r="W479" s="347"/>
      <c r="X479" s="347"/>
      <c r="Y479" s="347"/>
      <c r="Z479" s="348"/>
      <c r="AA479" s="348"/>
      <c r="AB479" s="349"/>
      <c r="AD479" s="365"/>
      <c r="AE479" s="366"/>
      <c r="AF479" s="367"/>
      <c r="AG479" s="367"/>
      <c r="AH479" s="367"/>
      <c r="AI479" s="367"/>
      <c r="AJ479" s="70"/>
      <c r="AK479" s="71" t="s">
        <v>97</v>
      </c>
      <c r="AL479" s="1608"/>
      <c r="AM479" s="1609"/>
      <c r="AN479" s="1434">
        <f>SUM(AN444:AO478)</f>
        <v>1.1802787377483604E-4</v>
      </c>
      <c r="AO479" s="1435"/>
      <c r="AX479" s="20"/>
      <c r="AY479" s="20"/>
      <c r="AZ479" s="20"/>
      <c r="BA479" s="20"/>
      <c r="BB479" s="20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</row>
    <row r="480" spans="1:87" ht="15" customHeight="1">
      <c r="A480" s="5"/>
      <c r="B480" s="5"/>
      <c r="C480" s="125"/>
      <c r="D480" s="300"/>
      <c r="E480" s="300"/>
      <c r="F480" s="296"/>
      <c r="G480" s="356"/>
      <c r="H480" s="354"/>
      <c r="I480" s="301"/>
      <c r="J480" s="301"/>
      <c r="K480" s="296"/>
      <c r="L480" s="300"/>
      <c r="M480" s="357"/>
      <c r="N480" s="300"/>
      <c r="O480" s="301"/>
      <c r="P480" s="125"/>
      <c r="Q480" s="125"/>
      <c r="R480" s="355"/>
      <c r="S480" s="355"/>
      <c r="T480" s="224"/>
      <c r="U480" s="224"/>
      <c r="V480" s="125"/>
      <c r="W480" s="347"/>
      <c r="X480" s="347"/>
      <c r="Y480" s="347"/>
      <c r="Z480" s="348"/>
      <c r="AA480" s="348"/>
      <c r="AB480" s="5"/>
      <c r="AI480" s="3">
        <f>+AI479*AL479*AO479*AS479*1000</f>
        <v>0</v>
      </c>
      <c r="AX480" s="20"/>
      <c r="AY480" s="20"/>
      <c r="AZ480" s="20"/>
      <c r="BA480" s="20"/>
      <c r="BB480" s="20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</row>
    <row r="481" spans="1:60" ht="15" customHeight="1">
      <c r="A481" s="5"/>
      <c r="B481" s="5"/>
      <c r="C481" s="125"/>
      <c r="D481" s="300"/>
      <c r="E481" s="300"/>
      <c r="F481" s="296"/>
      <c r="G481" s="356"/>
      <c r="H481" s="354"/>
      <c r="I481" s="301"/>
      <c r="J481" s="301"/>
      <c r="K481" s="296"/>
      <c r="L481" s="300"/>
      <c r="M481" s="357"/>
      <c r="N481" s="300"/>
      <c r="O481" s="301"/>
      <c r="P481" s="125"/>
      <c r="Q481" s="125"/>
      <c r="R481" s="355"/>
      <c r="S481" s="355"/>
      <c r="T481" s="224"/>
      <c r="U481" s="224"/>
      <c r="V481" s="125"/>
      <c r="W481" s="347"/>
      <c r="X481" s="347"/>
      <c r="Y481" s="347"/>
      <c r="Z481" s="348"/>
      <c r="AA481" s="348"/>
      <c r="AB481" s="5"/>
      <c r="AH481" s="3" t="s">
        <v>299</v>
      </c>
      <c r="AK481" s="3" t="s">
        <v>300</v>
      </c>
    </row>
    <row r="482" spans="1:60" ht="15" customHeight="1">
      <c r="A482" s="5"/>
      <c r="B482" s="5"/>
      <c r="C482" s="125"/>
      <c r="D482" s="1067" t="s">
        <v>317</v>
      </c>
      <c r="E482" s="1377" t="s">
        <v>316</v>
      </c>
      <c r="F482" s="1067">
        <v>1</v>
      </c>
      <c r="G482" s="1067"/>
      <c r="H482" s="1067" t="s">
        <v>330</v>
      </c>
      <c r="I482" s="1428">
        <v>0.5</v>
      </c>
      <c r="J482" s="1428"/>
      <c r="K482" s="1067" t="s">
        <v>331</v>
      </c>
      <c r="L482" s="1387" t="s">
        <v>332</v>
      </c>
      <c r="M482" s="1387"/>
      <c r="N482" s="1387"/>
      <c r="O482" s="1387"/>
      <c r="P482" s="1387"/>
      <c r="Q482" s="1067" t="s">
        <v>324</v>
      </c>
      <c r="R482" s="296"/>
      <c r="S482" s="296" t="s">
        <v>333</v>
      </c>
      <c r="T482" s="296" t="s">
        <v>316</v>
      </c>
      <c r="U482" s="1067">
        <f>+Q440</f>
        <v>130.4</v>
      </c>
      <c r="V482" s="1067"/>
      <c r="W482" s="1067"/>
      <c r="X482" s="303" t="s">
        <v>334</v>
      </c>
      <c r="Y482" s="303"/>
      <c r="Z482" s="125"/>
      <c r="AA482" s="125"/>
      <c r="AB482" s="5"/>
      <c r="AC482" s="5"/>
      <c r="AH482" s="3" t="s">
        <v>302</v>
      </c>
      <c r="AK482" s="3" t="s">
        <v>303</v>
      </c>
      <c r="AW482" s="5"/>
      <c r="AY482" s="3"/>
    </row>
    <row r="483" spans="1:60" ht="15" customHeight="1">
      <c r="A483" s="5"/>
      <c r="B483" s="5"/>
      <c r="C483" s="125"/>
      <c r="D483" s="1067"/>
      <c r="E483" s="1377"/>
      <c r="F483" s="1067"/>
      <c r="G483" s="1067"/>
      <c r="H483" s="1067"/>
      <c r="I483" s="1428"/>
      <c r="J483" s="1428"/>
      <c r="K483" s="1067"/>
      <c r="L483" s="1391" t="s">
        <v>377</v>
      </c>
      <c r="M483" s="1391"/>
      <c r="N483" s="296" t="s">
        <v>330</v>
      </c>
      <c r="O483" s="1391" t="s">
        <v>333</v>
      </c>
      <c r="P483" s="1391"/>
      <c r="Q483" s="1067"/>
      <c r="R483" s="296"/>
      <c r="S483" s="296" t="s">
        <v>377</v>
      </c>
      <c r="T483" s="296" t="s">
        <v>316</v>
      </c>
      <c r="U483" s="1067">
        <f>+N440</f>
        <v>134</v>
      </c>
      <c r="V483" s="1067"/>
      <c r="W483" s="1067"/>
      <c r="X483" s="303" t="s">
        <v>334</v>
      </c>
      <c r="Y483" s="303"/>
      <c r="Z483" s="125"/>
      <c r="AA483" s="125"/>
      <c r="AB483" s="5"/>
      <c r="AC483" s="5"/>
      <c r="AD483" s="145" t="s">
        <v>304</v>
      </c>
      <c r="AE483" s="145" t="s">
        <v>378</v>
      </c>
      <c r="AW483" s="5"/>
      <c r="AY483" s="3"/>
    </row>
    <row r="484" spans="1:60" ht="15" customHeight="1">
      <c r="A484" s="5"/>
      <c r="B484" s="5"/>
      <c r="C484" s="125"/>
      <c r="D484" s="296"/>
      <c r="E484" s="1376"/>
      <c r="F484" s="1067">
        <v>1</v>
      </c>
      <c r="G484" s="1067"/>
      <c r="H484" s="1066" t="s">
        <v>330</v>
      </c>
      <c r="I484" s="1067">
        <v>0.5</v>
      </c>
      <c r="J484" s="1067"/>
      <c r="K484" s="1067" t="s">
        <v>336</v>
      </c>
      <c r="L484" s="1387">
        <f>U482</f>
        <v>130.4</v>
      </c>
      <c r="M484" s="1387"/>
      <c r="N484" s="1387"/>
      <c r="O484" s="1387"/>
      <c r="P484" s="1387"/>
      <c r="Q484" s="1067" t="s">
        <v>324</v>
      </c>
      <c r="R484" s="296"/>
      <c r="S484" s="296"/>
      <c r="T484" s="1067" t="s">
        <v>316</v>
      </c>
      <c r="U484" s="1389">
        <f>1-0.5*((U482/(U483-U482)))</f>
        <v>-17.111111111111139</v>
      </c>
      <c r="V484" s="1389"/>
      <c r="W484" s="1389"/>
      <c r="X484" s="1390" t="s">
        <v>334</v>
      </c>
      <c r="Y484" s="1390"/>
      <c r="Z484" s="125"/>
      <c r="AA484" s="125"/>
      <c r="AB484" s="5"/>
      <c r="AC484" s="5"/>
      <c r="AI484" s="1384">
        <f>+G5/K5</f>
        <v>0.95454545454545447</v>
      </c>
      <c r="AJ484" s="1384"/>
    </row>
    <row r="485" spans="1:60" ht="15" customHeight="1">
      <c r="A485" s="5"/>
      <c r="B485" s="5"/>
      <c r="C485" s="125"/>
      <c r="D485" s="296"/>
      <c r="E485" s="1376"/>
      <c r="F485" s="1067"/>
      <c r="G485" s="1067"/>
      <c r="H485" s="1066"/>
      <c r="I485" s="1067"/>
      <c r="J485" s="1067"/>
      <c r="K485" s="1067"/>
      <c r="L485" s="1391">
        <f>U483</f>
        <v>134</v>
      </c>
      <c r="M485" s="1391"/>
      <c r="N485" s="296" t="s">
        <v>330</v>
      </c>
      <c r="O485" s="1391">
        <f>U482</f>
        <v>130.4</v>
      </c>
      <c r="P485" s="1391"/>
      <c r="Q485" s="1067"/>
      <c r="R485" s="296"/>
      <c r="S485" s="296"/>
      <c r="T485" s="1067"/>
      <c r="U485" s="1389"/>
      <c r="V485" s="1389"/>
      <c r="W485" s="1389"/>
      <c r="X485" s="1390"/>
      <c r="Y485" s="1390"/>
      <c r="Z485" s="125"/>
      <c r="AA485" s="125"/>
      <c r="AB485" s="5"/>
      <c r="AC485" s="5"/>
      <c r="AG485" s="5"/>
      <c r="AI485" s="278" t="s">
        <v>307</v>
      </c>
      <c r="AJ485" s="279" t="s">
        <v>308</v>
      </c>
      <c r="AK485" s="279" t="s">
        <v>309</v>
      </c>
      <c r="AL485" s="279" t="s">
        <v>310</v>
      </c>
      <c r="AM485" s="280" t="s">
        <v>311</v>
      </c>
      <c r="AQ485" s="364"/>
      <c r="AR485" s="364"/>
      <c r="AS485" s="364"/>
      <c r="AT485" s="364"/>
      <c r="AU485" s="370"/>
      <c r="AV485" s="364"/>
      <c r="AW485" s="364"/>
      <c r="AX485" s="364"/>
      <c r="AY485" s="1202"/>
      <c r="AZ485" s="1202"/>
    </row>
    <row r="486" spans="1:60" ht="15" customHeight="1">
      <c r="A486" s="5"/>
      <c r="B486" s="5"/>
      <c r="C486" s="125"/>
      <c r="D486" s="1067" t="s">
        <v>318</v>
      </c>
      <c r="E486" s="1376" t="s">
        <v>316</v>
      </c>
      <c r="F486" s="1067">
        <v>1</v>
      </c>
      <c r="G486" s="1067"/>
      <c r="H486" s="1067" t="s">
        <v>337</v>
      </c>
      <c r="I486" s="1067">
        <v>0.2</v>
      </c>
      <c r="J486" s="1067"/>
      <c r="K486" s="1067"/>
      <c r="L486" s="1437" t="s">
        <v>338</v>
      </c>
      <c r="M486" s="1437"/>
      <c r="N486" s="1437" t="s">
        <v>331</v>
      </c>
      <c r="O486" s="1387">
        <v>10</v>
      </c>
      <c r="P486" s="1387"/>
      <c r="Q486" s="1387"/>
      <c r="R486" s="1067" t="s">
        <v>324</v>
      </c>
      <c r="S486" s="296"/>
      <c r="T486" s="1067" t="s">
        <v>316</v>
      </c>
      <c r="U486" s="1375">
        <f>1+0.2*LOG((O486/0.2))</f>
        <v>1.3397940008672038</v>
      </c>
      <c r="V486" s="1375"/>
      <c r="W486" s="1375"/>
      <c r="X486" s="296"/>
      <c r="Y486" s="296"/>
      <c r="Z486" s="125"/>
      <c r="AA486" s="125"/>
      <c r="AB486" s="5"/>
      <c r="AC486" s="5"/>
      <c r="AI486" s="281">
        <v>0</v>
      </c>
      <c r="AJ486" s="282">
        <v>0.4</v>
      </c>
      <c r="AK486" s="282">
        <v>0.1</v>
      </c>
      <c r="AL486" s="283">
        <f>SLOPE(AK486:AK487,AJ486:AJ487)</f>
        <v>9.5238095238095219E-2</v>
      </c>
      <c r="AM486" s="284">
        <f>INTERCEPT(AK486:AK487,AJ486:AJ487)</f>
        <v>6.1904761904761907E-2</v>
      </c>
      <c r="AS486" s="371"/>
    </row>
    <row r="487" spans="1:60" ht="15" customHeight="1">
      <c r="A487" s="5"/>
      <c r="B487" s="5"/>
      <c r="C487" s="125"/>
      <c r="D487" s="1067"/>
      <c r="E487" s="1376"/>
      <c r="F487" s="1067"/>
      <c r="G487" s="1067"/>
      <c r="H487" s="1067"/>
      <c r="I487" s="1067"/>
      <c r="J487" s="1067"/>
      <c r="K487" s="1067"/>
      <c r="L487" s="1437"/>
      <c r="M487" s="1437"/>
      <c r="N487" s="1437"/>
      <c r="O487" s="1391">
        <v>0.1</v>
      </c>
      <c r="P487" s="1391"/>
      <c r="Q487" s="1391"/>
      <c r="R487" s="1067"/>
      <c r="S487" s="296"/>
      <c r="T487" s="1067"/>
      <c r="U487" s="1375"/>
      <c r="V487" s="1375"/>
      <c r="W487" s="1375"/>
      <c r="X487" s="296"/>
      <c r="Y487" s="296"/>
      <c r="Z487" s="125"/>
      <c r="AA487" s="125"/>
      <c r="AC487" s="5"/>
      <c r="AI487" s="286">
        <v>0.5</v>
      </c>
      <c r="AJ487" s="287">
        <f>AI487*G5+AJ486</f>
        <v>4.6000000000000005</v>
      </c>
      <c r="AK487" s="282">
        <v>0.5</v>
      </c>
      <c r="AL487" s="283">
        <f>SLOPE(AK487:AK488,AJ487:AJ488)</f>
        <v>-3.9682539682539687E-2</v>
      </c>
      <c r="AM487" s="284">
        <f>INTERCEPT(AK487:AK488,AJ487:AJ488)</f>
        <v>0.68253968253968256</v>
      </c>
      <c r="AX487" s="3"/>
      <c r="AZ487" s="5"/>
    </row>
    <row r="488" spans="1:60" ht="15" customHeight="1">
      <c r="A488" s="5"/>
      <c r="B488" s="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C488" s="5"/>
      <c r="AD488" s="5"/>
      <c r="AE488" s="5"/>
      <c r="AF488" s="5"/>
      <c r="AG488" s="5"/>
      <c r="AI488" s="288">
        <v>2</v>
      </c>
      <c r="AJ488" s="289">
        <f>AI488*G5+AJ486</f>
        <v>17.2</v>
      </c>
      <c r="AK488" s="289">
        <v>0</v>
      </c>
      <c r="AL488" s="290"/>
      <c r="AM488" s="291"/>
      <c r="AQ488" s="5"/>
      <c r="AR488" s="5"/>
      <c r="AS488" s="5"/>
      <c r="AT488" s="5"/>
      <c r="AU488" s="5"/>
      <c r="AV488" s="5"/>
      <c r="AW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spans="1:60" ht="15" customHeight="1">
      <c r="C489" s="368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C489" s="5"/>
      <c r="AD489" s="5"/>
      <c r="AE489" s="5"/>
      <c r="AF489" s="5"/>
      <c r="AG489" s="5"/>
      <c r="AI489" s="374" t="s">
        <v>314</v>
      </c>
      <c r="AJ489" s="375" t="s">
        <v>308</v>
      </c>
      <c r="AK489" s="375" t="s">
        <v>309</v>
      </c>
      <c r="AL489" s="376" t="s">
        <v>310</v>
      </c>
      <c r="AM489" s="377" t="s">
        <v>311</v>
      </c>
      <c r="AQ489" s="287"/>
      <c r="AR489" s="287"/>
      <c r="AS489" s="287"/>
      <c r="AT489" s="287"/>
      <c r="AU489" s="287"/>
      <c r="AV489" s="5"/>
      <c r="AW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spans="1:60" ht="15" customHeight="1">
      <c r="C490" s="131" t="s">
        <v>344</v>
      </c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C490" s="5"/>
      <c r="AD490" s="5"/>
      <c r="AE490" s="5"/>
      <c r="AF490" s="5"/>
      <c r="AG490" s="5"/>
      <c r="AI490" s="378">
        <v>0</v>
      </c>
      <c r="AJ490" s="294">
        <v>1.1000000000000001</v>
      </c>
      <c r="AK490" s="379">
        <f>0.0111*AI484+0.0889</f>
        <v>9.9495454545454554E-2</v>
      </c>
      <c r="AL490" s="380">
        <f>SLOPE(AK490:AK491,AJ490:AJ491)</f>
        <v>9.5919791889834669E-2</v>
      </c>
      <c r="AM490" s="381">
        <f>INTERCEPT(AK490:AK491,AJ490:AJ491)</f>
        <v>-6.0163165333635971E-3</v>
      </c>
      <c r="AO490" s="382"/>
      <c r="AQ490" s="287"/>
      <c r="AR490" s="287"/>
      <c r="AS490" s="287"/>
      <c r="AT490" s="287"/>
      <c r="AU490" s="287"/>
      <c r="AV490" s="5"/>
      <c r="AW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spans="1:60" ht="15" customHeight="1">
      <c r="C491" s="372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C491" s="5"/>
      <c r="AD491" s="5"/>
      <c r="AE491" s="5"/>
      <c r="AF491" s="5"/>
      <c r="AG491" s="5"/>
      <c r="AI491" s="383">
        <f>0.0556*AI484+0.444</f>
        <v>0.49707272727272728</v>
      </c>
      <c r="AJ491" s="384">
        <f>AI491*G5+AJ490</f>
        <v>5.27541090909091</v>
      </c>
      <c r="AK491" s="384">
        <v>0.5</v>
      </c>
      <c r="AL491" s="380">
        <f>SLOPE(AK491:AK492,AJ491:AJ492)</f>
        <v>-3.9873206104457354E-2</v>
      </c>
      <c r="AM491" s="381">
        <f>INTERCEPT(AK491:AK492,AJ491:AJ492)</f>
        <v>0.71034754646388465</v>
      </c>
      <c r="AO491" s="385"/>
      <c r="AQ491" s="287"/>
      <c r="AR491" s="287"/>
      <c r="AS491" s="287"/>
      <c r="AT491" s="287"/>
      <c r="AU491" s="287"/>
      <c r="AV491" s="5"/>
      <c r="AW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spans="1:60" ht="26.25" customHeight="1">
      <c r="C492" s="369"/>
      <c r="D492" s="369" t="s">
        <v>379</v>
      </c>
      <c r="E492" s="373" t="s">
        <v>90</v>
      </c>
      <c r="F492" s="369"/>
      <c r="G492" s="369" t="s">
        <v>380</v>
      </c>
      <c r="H492" s="373" t="s">
        <v>248</v>
      </c>
      <c r="I492" s="372" t="s">
        <v>381</v>
      </c>
      <c r="J492" s="373" t="s">
        <v>90</v>
      </c>
      <c r="K492" s="85"/>
      <c r="L492" s="887">
        <f>+T431</f>
        <v>0.28000000000000003</v>
      </c>
      <c r="M492" s="887"/>
      <c r="N492" s="373" t="s">
        <v>248</v>
      </c>
      <c r="O492" s="888">
        <f>+V471</f>
        <v>0.28457224578419371</v>
      </c>
      <c r="P492" s="887"/>
      <c r="Q492" s="164" t="s">
        <v>90</v>
      </c>
      <c r="R492" s="890">
        <f>+L492+O492</f>
        <v>0.56457224578419374</v>
      </c>
      <c r="S492" s="891"/>
      <c r="T492" s="891"/>
      <c r="U492" s="234" t="s">
        <v>382</v>
      </c>
      <c r="V492" s="85"/>
      <c r="W492" s="85"/>
      <c r="X492" s="85"/>
      <c r="Y492" s="85"/>
      <c r="Z492" s="85"/>
      <c r="AA492" s="85"/>
      <c r="AC492" s="5"/>
      <c r="AD492" s="5"/>
      <c r="AE492" s="5"/>
      <c r="AF492" s="5"/>
      <c r="AG492" s="5"/>
      <c r="AI492" s="386">
        <f>0.2222*AI484+1.7778</f>
        <v>1.9899</v>
      </c>
      <c r="AJ492" s="387">
        <f>AI492*G5+AJ490</f>
        <v>17.815160000000002</v>
      </c>
      <c r="AK492" s="387">
        <v>0</v>
      </c>
      <c r="AL492" s="388"/>
      <c r="AM492" s="389"/>
      <c r="AQ492" s="287"/>
      <c r="AR492" s="287"/>
      <c r="AS492" s="287"/>
      <c r="AT492" s="287"/>
      <c r="AU492" s="287"/>
      <c r="AV492" s="5"/>
      <c r="AW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spans="1:60" ht="26.25" customHeight="1">
      <c r="C493" s="372"/>
      <c r="D493" s="369"/>
      <c r="E493" s="1604"/>
      <c r="F493" s="1604"/>
      <c r="G493" s="369"/>
      <c r="H493" s="369"/>
      <c r="I493" s="887"/>
      <c r="J493" s="887"/>
      <c r="K493" s="369"/>
      <c r="L493" s="373"/>
      <c r="M493" s="1605"/>
      <c r="N493" s="1605"/>
      <c r="O493" s="160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C493" s="5"/>
      <c r="AD493" s="5"/>
      <c r="AE493" s="5"/>
      <c r="AF493" s="5"/>
      <c r="AG493" s="390"/>
      <c r="AI493" s="278" t="s">
        <v>326</v>
      </c>
      <c r="AJ493" s="279" t="s">
        <v>308</v>
      </c>
      <c r="AK493" s="279" t="s">
        <v>309</v>
      </c>
      <c r="AL493" s="292" t="s">
        <v>310</v>
      </c>
      <c r="AM493" s="293" t="s">
        <v>311</v>
      </c>
      <c r="AQ493" s="391"/>
      <c r="AR493" s="391"/>
      <c r="AS493" s="391"/>
      <c r="AT493" s="287"/>
      <c r="AU493" s="5"/>
      <c r="AV493" s="5"/>
      <c r="AW493" s="5"/>
      <c r="AZ493" s="5"/>
      <c r="BA493" s="5"/>
      <c r="BB493" s="5"/>
      <c r="BC493" s="5"/>
      <c r="BD493" s="5"/>
      <c r="BE493" s="5"/>
      <c r="BF493" s="5"/>
      <c r="BG493" s="5"/>
    </row>
    <row r="494" spans="1:60" ht="26.25" customHeight="1"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C494" s="5"/>
      <c r="AD494" s="5"/>
      <c r="AE494" s="5"/>
      <c r="AF494" s="5"/>
      <c r="AG494" s="287"/>
      <c r="AI494" s="281">
        <v>0</v>
      </c>
      <c r="AJ494" s="282">
        <v>0.4</v>
      </c>
      <c r="AK494" s="282">
        <v>0.2</v>
      </c>
      <c r="AL494" s="283">
        <f>SLOPE(AK494:AK495,AJ494:AJ495)</f>
        <v>3.5714285714285712E-2</v>
      </c>
      <c r="AM494" s="284">
        <f>INTERCEPT(AK494:AK495,AJ494:AJ495)</f>
        <v>0.18571428571428569</v>
      </c>
      <c r="AQ494" s="287"/>
      <c r="AR494" s="287"/>
      <c r="AS494" s="287"/>
      <c r="AT494" s="287"/>
      <c r="AU494" s="5"/>
      <c r="AV494" s="5"/>
      <c r="AW494" s="5"/>
      <c r="AZ494" s="5"/>
      <c r="BA494" s="5"/>
      <c r="BB494" s="5"/>
      <c r="BC494" s="5"/>
      <c r="BD494" s="5"/>
      <c r="BE494" s="5"/>
      <c r="BF494" s="5"/>
      <c r="BG494" s="5"/>
    </row>
    <row r="495" spans="1:60" ht="15" customHeight="1">
      <c r="C495" s="306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AD495" s="5"/>
      <c r="AE495" s="5"/>
      <c r="AF495" s="5"/>
      <c r="AG495" s="306"/>
      <c r="AI495" s="286">
        <v>1</v>
      </c>
      <c r="AJ495" s="282">
        <f>AI495*G5+AJ494</f>
        <v>8.8000000000000007</v>
      </c>
      <c r="AK495" s="282">
        <v>0.5</v>
      </c>
      <c r="AL495" s="283">
        <f>SLOPE(AK495:AK496,AJ495:AJ496)</f>
        <v>-1.984126984126984E-2</v>
      </c>
      <c r="AM495" s="284">
        <f>INTERCEPT(AK495:AK496,AJ495:AJ496)</f>
        <v>0.67460317460317454</v>
      </c>
      <c r="AQ495" s="287"/>
      <c r="AR495" s="287"/>
      <c r="AS495" s="287"/>
      <c r="AT495" s="287"/>
      <c r="AU495" s="5"/>
      <c r="AV495" s="5"/>
      <c r="AW495" s="5"/>
      <c r="AZ495" s="5"/>
      <c r="BA495" s="5"/>
      <c r="BB495" s="5"/>
      <c r="BC495" s="5"/>
      <c r="BD495" s="5"/>
      <c r="BE495" s="5"/>
      <c r="BF495" s="5"/>
      <c r="BG495" s="5"/>
    </row>
    <row r="496" spans="1:60" ht="25.5" customHeight="1"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AB496" s="307"/>
      <c r="AD496" s="5"/>
      <c r="AE496" s="5"/>
      <c r="AF496" s="5"/>
      <c r="AG496" s="287"/>
      <c r="AI496" s="288">
        <v>4</v>
      </c>
      <c r="AJ496" s="289">
        <f>AI496*G5+AJ494</f>
        <v>34</v>
      </c>
      <c r="AK496" s="289">
        <v>0</v>
      </c>
      <c r="AL496" s="304"/>
      <c r="AM496" s="305"/>
      <c r="AQ496" s="287"/>
      <c r="AR496" s="287"/>
      <c r="AS496" s="287"/>
      <c r="AT496" s="287"/>
      <c r="AU496" s="5"/>
      <c r="AV496" s="5"/>
      <c r="AW496" s="5"/>
      <c r="AZ496" s="5"/>
      <c r="BA496" s="5"/>
      <c r="BB496" s="5"/>
      <c r="BC496" s="5"/>
      <c r="BD496" s="5"/>
      <c r="BE496" s="5"/>
      <c r="BF496" s="5"/>
      <c r="BG496" s="5"/>
    </row>
    <row r="497" spans="2:77" ht="25.5" customHeight="1">
      <c r="AB497" s="308"/>
      <c r="AD497" s="5"/>
      <c r="AE497" s="5"/>
      <c r="AF497" s="5"/>
      <c r="AG497" s="5"/>
      <c r="AQ497" s="5"/>
      <c r="AR497" s="5"/>
      <c r="AS497" s="5"/>
      <c r="AT497" s="5"/>
      <c r="AU497" s="5"/>
      <c r="AV497" s="5"/>
      <c r="AW497" s="5"/>
      <c r="AZ497" s="5"/>
      <c r="BA497" s="5"/>
      <c r="BB497" s="5"/>
      <c r="BC497" s="5"/>
      <c r="BD497" s="5"/>
      <c r="BE497" s="5"/>
      <c r="BF497" s="5"/>
      <c r="BG497" s="5"/>
      <c r="BW497" s="5"/>
      <c r="BX497" s="5"/>
      <c r="BY497" s="5"/>
    </row>
    <row r="498" spans="2:77" ht="25.5" customHeight="1">
      <c r="B498" s="1400" t="s">
        <v>339</v>
      </c>
      <c r="C498" s="1400"/>
      <c r="D498" s="1400"/>
      <c r="E498" s="1400"/>
      <c r="F498" s="1400"/>
      <c r="G498" s="1400"/>
      <c r="H498" s="1400"/>
      <c r="I498" s="1400"/>
      <c r="J498" s="1400"/>
      <c r="K498" s="1400"/>
      <c r="L498" s="1400"/>
      <c r="M498" s="1400"/>
      <c r="N498" s="1400"/>
      <c r="O498" s="1400"/>
      <c r="P498" s="1400"/>
      <c r="Q498" s="1400"/>
      <c r="R498" s="1400"/>
      <c r="S498" s="1401">
        <f>+R492</f>
        <v>0.56457224578419374</v>
      </c>
      <c r="T498" s="1401"/>
      <c r="U498" s="1401"/>
      <c r="V498" s="1401"/>
      <c r="W498" s="1401"/>
      <c r="X498" s="1401"/>
      <c r="Y498" s="1401"/>
      <c r="Z498" s="1401"/>
      <c r="AA498" s="307"/>
      <c r="AB498" s="309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Z498" s="5"/>
      <c r="BA498" s="5"/>
      <c r="BB498" s="5"/>
      <c r="BC498" s="5"/>
      <c r="BD498" s="5"/>
      <c r="BE498" s="5"/>
      <c r="BF498" s="5"/>
      <c r="BG498" s="5"/>
      <c r="BW498" s="5"/>
      <c r="BX498" s="5"/>
      <c r="BY498" s="5"/>
    </row>
    <row r="499" spans="2:77" ht="15" customHeight="1">
      <c r="B499" s="1402" t="s">
        <v>340</v>
      </c>
      <c r="C499" s="1402"/>
      <c r="D499" s="1402"/>
      <c r="E499" s="1402"/>
      <c r="F499" s="1402"/>
      <c r="G499" s="1402"/>
      <c r="H499" s="1402"/>
      <c r="I499" s="1402"/>
      <c r="J499" s="1402"/>
      <c r="K499" s="1402"/>
      <c r="L499" s="1402"/>
      <c r="M499" s="1402"/>
      <c r="N499" s="1402"/>
      <c r="O499" s="1402"/>
      <c r="P499" s="1402"/>
      <c r="Q499" s="1402"/>
      <c r="R499" s="1402"/>
      <c r="S499" s="1403">
        <v>25</v>
      </c>
      <c r="T499" s="1403"/>
      <c r="U499" s="1403"/>
      <c r="V499" s="1403"/>
      <c r="W499" s="1403"/>
      <c r="X499" s="1403"/>
      <c r="Y499" s="1403"/>
      <c r="Z499" s="1403"/>
      <c r="AA499" s="308"/>
      <c r="AB499" s="240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Z499" s="5"/>
      <c r="BA499" s="5"/>
      <c r="BB499" s="5"/>
      <c r="BC499" s="5"/>
      <c r="BD499" s="5"/>
      <c r="BE499" s="5"/>
      <c r="BF499" s="5"/>
      <c r="BG499" s="5"/>
      <c r="BW499" s="5"/>
      <c r="BX499" s="5"/>
      <c r="BY499" s="5"/>
    </row>
    <row r="500" spans="2:77" ht="15" customHeight="1">
      <c r="B500" s="1404" t="s">
        <v>341</v>
      </c>
      <c r="C500" s="1404"/>
      <c r="D500" s="1404"/>
      <c r="E500" s="1404"/>
      <c r="F500" s="1404"/>
      <c r="G500" s="1404"/>
      <c r="H500" s="1404"/>
      <c r="I500" s="1404"/>
      <c r="J500" s="1404"/>
      <c r="K500" s="1404"/>
      <c r="L500" s="1404"/>
      <c r="M500" s="1404"/>
      <c r="N500" s="1404"/>
      <c r="O500" s="1404"/>
      <c r="P500" s="1404"/>
      <c r="Q500" s="1404"/>
      <c r="R500" s="1404"/>
      <c r="S500" s="1404" t="str">
        <f>IF(S498 &lt;= S499, "O.K", "N.G")</f>
        <v>O.K</v>
      </c>
      <c r="T500" s="1404"/>
      <c r="U500" s="1404"/>
      <c r="V500" s="1404"/>
      <c r="W500" s="1404"/>
      <c r="X500" s="1404"/>
      <c r="Y500" s="1404"/>
      <c r="Z500" s="1404"/>
      <c r="AA500" s="309"/>
      <c r="AB500" s="240"/>
      <c r="BW500" s="5"/>
      <c r="BX500" s="5"/>
      <c r="BY500" s="5"/>
    </row>
    <row r="501" spans="2:77" ht="15" customHeight="1"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BW501" s="5"/>
      <c r="BX501" s="5"/>
      <c r="BY501" s="5"/>
    </row>
    <row r="502" spans="2:77" ht="15" customHeight="1"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BW502" s="5"/>
      <c r="BX502" s="5"/>
      <c r="BY502" s="5"/>
    </row>
    <row r="503" spans="2:77" ht="15" customHeight="1"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BW503" s="5"/>
      <c r="BX503" s="5"/>
      <c r="BY503" s="5"/>
    </row>
    <row r="504" spans="2:77" ht="15" customHeight="1"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BW504" s="5"/>
      <c r="BX504" s="5"/>
      <c r="BY504" s="5"/>
    </row>
    <row r="505" spans="2:77" ht="15" customHeight="1"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BW505" s="5"/>
      <c r="BX505" s="5"/>
      <c r="BY505" s="5"/>
    </row>
    <row r="506" spans="2:77" ht="15" customHeight="1"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BW506" s="5"/>
      <c r="BX506" s="5"/>
      <c r="BY506" s="5"/>
    </row>
    <row r="507" spans="2:77" ht="15" customHeight="1">
      <c r="BW507" s="5"/>
      <c r="BX507" s="5"/>
      <c r="BY507" s="5"/>
    </row>
    <row r="508" spans="2:77" ht="15" customHeight="1">
      <c r="B508" s="392"/>
      <c r="C508" s="287"/>
      <c r="D508" s="287"/>
      <c r="E508" s="287"/>
      <c r="F508" s="393"/>
      <c r="G508" s="287"/>
      <c r="H508" s="394"/>
      <c r="I508" s="394"/>
      <c r="J508" s="287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  <c r="V508" s="395"/>
      <c r="W508" s="395"/>
      <c r="X508" s="395"/>
      <c r="Y508" s="287"/>
      <c r="Z508" s="287"/>
      <c r="BW508" s="5"/>
      <c r="BX508" s="5"/>
      <c r="BY508" s="5"/>
    </row>
    <row r="509" spans="2:77" ht="15" customHeight="1">
      <c r="B509" s="392"/>
      <c r="C509" s="287"/>
      <c r="D509" s="287"/>
      <c r="E509" s="287"/>
      <c r="F509" s="393"/>
      <c r="G509" s="287"/>
      <c r="H509" s="394"/>
      <c r="I509" s="394"/>
      <c r="J509" s="287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  <c r="V509" s="395"/>
      <c r="W509" s="395"/>
      <c r="X509" s="395"/>
      <c r="Y509" s="287"/>
      <c r="Z509" s="287"/>
      <c r="BW509" s="5"/>
      <c r="BX509" s="5"/>
      <c r="BY509" s="5"/>
    </row>
    <row r="510" spans="2:77" ht="15" customHeight="1">
      <c r="B510" s="392"/>
      <c r="C510" s="287"/>
      <c r="D510" s="287"/>
      <c r="E510" s="287"/>
      <c r="F510" s="393"/>
      <c r="G510" s="287"/>
      <c r="H510" s="394"/>
      <c r="I510" s="394"/>
      <c r="J510" s="287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  <c r="V510" s="395"/>
      <c r="W510" s="395"/>
      <c r="X510" s="395"/>
      <c r="Y510" s="287"/>
      <c r="Z510" s="287"/>
      <c r="BW510" s="5"/>
      <c r="BX510" s="5"/>
      <c r="BY510" s="5"/>
    </row>
    <row r="511" spans="2:77" ht="15" customHeight="1">
      <c r="B511" s="392"/>
      <c r="C511" s="287"/>
      <c r="D511" s="287"/>
      <c r="E511" s="287"/>
      <c r="F511" s="393"/>
      <c r="G511" s="287"/>
      <c r="H511" s="394"/>
      <c r="I511" s="394"/>
      <c r="J511" s="287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  <c r="V511" s="395"/>
      <c r="W511" s="395"/>
      <c r="X511" s="395"/>
      <c r="Y511" s="287"/>
      <c r="Z511" s="287"/>
      <c r="BW511" s="5"/>
      <c r="BX511" s="5"/>
      <c r="BY511" s="5"/>
    </row>
    <row r="512" spans="2:77" ht="15" customHeight="1">
      <c r="B512" s="392"/>
      <c r="C512" s="287"/>
      <c r="D512" s="287"/>
      <c r="E512" s="287"/>
      <c r="F512" s="393"/>
      <c r="G512" s="287"/>
      <c r="H512" s="394"/>
      <c r="I512" s="394"/>
      <c r="J512" s="287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  <c r="V512" s="395"/>
      <c r="W512" s="395"/>
      <c r="X512" s="395"/>
      <c r="Y512" s="287"/>
      <c r="Z512" s="287"/>
      <c r="BW512" s="5"/>
      <c r="BX512" s="5"/>
      <c r="BY512" s="5"/>
    </row>
    <row r="513" spans="2:77" ht="15" customHeight="1">
      <c r="B513" s="392"/>
      <c r="C513" s="287"/>
      <c r="D513" s="287"/>
      <c r="E513" s="287"/>
      <c r="F513" s="393"/>
      <c r="G513" s="287"/>
      <c r="H513" s="394"/>
      <c r="I513" s="394"/>
      <c r="J513" s="287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  <c r="V513" s="395"/>
      <c r="W513" s="395"/>
      <c r="X513" s="395"/>
      <c r="Y513" s="287"/>
      <c r="Z513" s="287"/>
      <c r="BW513" s="5"/>
      <c r="BX513" s="5"/>
      <c r="BY513" s="5"/>
    </row>
    <row r="514" spans="2:77" ht="15" customHeight="1">
      <c r="B514" s="392"/>
      <c r="C514" s="287"/>
      <c r="D514" s="287"/>
      <c r="E514" s="287"/>
      <c r="F514" s="393"/>
      <c r="G514" s="287"/>
      <c r="H514" s="394"/>
      <c r="I514" s="394"/>
      <c r="J514" s="287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  <c r="V514" s="395"/>
      <c r="W514" s="395"/>
      <c r="X514" s="395"/>
      <c r="Y514" s="287"/>
      <c r="Z514" s="287"/>
      <c r="BW514" s="5"/>
      <c r="BX514" s="5"/>
      <c r="BY514" s="5"/>
    </row>
    <row r="515" spans="2:77" ht="15" customHeight="1">
      <c r="B515" s="392"/>
      <c r="C515" s="287"/>
      <c r="D515" s="287"/>
      <c r="E515" s="287"/>
      <c r="F515" s="393"/>
      <c r="G515" s="287"/>
      <c r="H515" s="394"/>
      <c r="I515" s="394"/>
      <c r="J515" s="287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  <c r="V515" s="395"/>
      <c r="W515" s="395"/>
      <c r="X515" s="395"/>
      <c r="Y515" s="287"/>
      <c r="Z515" s="287"/>
      <c r="BW515" s="5"/>
      <c r="BX515" s="5"/>
      <c r="BY515" s="5"/>
    </row>
    <row r="516" spans="2:77" ht="15" customHeight="1">
      <c r="B516" s="392"/>
      <c r="C516" s="287"/>
      <c r="D516" s="287"/>
      <c r="E516" s="287"/>
      <c r="F516" s="393"/>
      <c r="G516" s="287"/>
      <c r="H516" s="394"/>
      <c r="I516" s="394"/>
      <c r="J516" s="287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  <c r="V516" s="395"/>
      <c r="W516" s="395"/>
      <c r="X516" s="395"/>
      <c r="Y516" s="287"/>
      <c r="Z516" s="287"/>
      <c r="AH516" s="5"/>
      <c r="AI516" s="5"/>
      <c r="AJ516" s="5"/>
      <c r="AK516" s="5"/>
      <c r="AL516" s="5"/>
      <c r="AX516" s="3"/>
      <c r="AY516" s="3"/>
      <c r="BW516" s="5"/>
      <c r="BX516" s="5"/>
      <c r="BY516" s="5"/>
    </row>
    <row r="517" spans="2:77" ht="15" customHeight="1">
      <c r="B517" s="392"/>
      <c r="C517" s="287"/>
      <c r="D517" s="287"/>
      <c r="E517" s="287"/>
      <c r="F517" s="393"/>
      <c r="G517" s="287"/>
      <c r="H517" s="394"/>
      <c r="I517" s="394"/>
      <c r="J517" s="287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  <c r="V517" s="395"/>
      <c r="W517" s="395"/>
      <c r="X517" s="395"/>
      <c r="Y517" s="287"/>
      <c r="Z517" s="287"/>
      <c r="AH517" s="5"/>
      <c r="AI517" s="5"/>
      <c r="AJ517" s="5"/>
      <c r="AK517" s="5"/>
      <c r="AL517" s="5"/>
      <c r="AX517" s="3"/>
      <c r="AY517" s="3"/>
      <c r="BW517" s="5"/>
      <c r="BX517" s="5"/>
      <c r="BY517" s="5"/>
    </row>
    <row r="518" spans="2:77" ht="15" customHeight="1">
      <c r="B518" s="392"/>
      <c r="C518" s="287"/>
      <c r="D518" s="287"/>
      <c r="E518" s="287"/>
      <c r="F518" s="393"/>
      <c r="G518" s="287"/>
      <c r="H518" s="394"/>
      <c r="I518" s="394"/>
      <c r="J518" s="287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  <c r="V518" s="395"/>
      <c r="W518" s="395"/>
      <c r="X518" s="395"/>
      <c r="Y518" s="287"/>
      <c r="Z518" s="287"/>
      <c r="AH518" s="5"/>
      <c r="AI518" s="5"/>
      <c r="AJ518" s="5"/>
      <c r="AK518" s="5"/>
      <c r="AL518" s="5"/>
      <c r="AX518" s="3"/>
      <c r="AY518" s="3"/>
      <c r="BW518" s="5"/>
      <c r="BX518" s="5"/>
      <c r="BY518" s="5"/>
    </row>
    <row r="519" spans="2:77" ht="15" customHeight="1">
      <c r="B519" s="396" t="s">
        <v>417</v>
      </c>
      <c r="C519" s="287"/>
      <c r="D519" s="287"/>
      <c r="E519" s="287"/>
      <c r="F519" s="393"/>
      <c r="G519" s="287"/>
      <c r="H519" s="397"/>
      <c r="I519" s="397"/>
      <c r="J519" s="287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  <c r="V519" s="395"/>
      <c r="W519" s="395"/>
      <c r="X519" s="395"/>
      <c r="Y519" s="287"/>
      <c r="Z519" s="287"/>
      <c r="AH519" s="5"/>
      <c r="AI519" s="5"/>
      <c r="AJ519" s="5"/>
      <c r="AK519" s="5"/>
      <c r="AL519" s="5"/>
      <c r="AX519" s="3"/>
      <c r="AY519" s="3"/>
    </row>
    <row r="520" spans="2:77" ht="15" customHeight="1">
      <c r="C520" s="287"/>
      <c r="D520" s="287"/>
      <c r="E520" s="287"/>
      <c r="F520" s="393"/>
      <c r="G520" s="287"/>
      <c r="H520" s="398"/>
      <c r="I520" s="398"/>
      <c r="J520" s="287"/>
      <c r="K520" s="395"/>
      <c r="L520" s="287"/>
      <c r="M520" s="287"/>
      <c r="N520" s="287"/>
      <c r="O520" s="399"/>
      <c r="P520" s="399"/>
      <c r="Q520" s="400"/>
      <c r="R520" s="400"/>
      <c r="S520" s="400"/>
      <c r="T520" s="399"/>
      <c r="U520" s="399"/>
      <c r="V520" s="399"/>
      <c r="W520" s="399"/>
      <c r="X520" s="399"/>
      <c r="Y520" s="287"/>
      <c r="Z520" s="287"/>
      <c r="AX520" s="3"/>
      <c r="AY520" s="3"/>
    </row>
    <row r="521" spans="2:77" ht="15" customHeight="1">
      <c r="B521" s="395"/>
      <c r="C521" s="287"/>
      <c r="D521" s="287"/>
      <c r="E521" s="287"/>
      <c r="F521" s="395"/>
      <c r="G521" s="287"/>
      <c r="H521" s="287"/>
      <c r="I521" s="287"/>
      <c r="J521" s="287"/>
      <c r="K521" s="287"/>
      <c r="L521" s="287"/>
      <c r="M521" s="287"/>
      <c r="N521" s="287"/>
      <c r="O521" s="399"/>
      <c r="P521" s="399"/>
      <c r="Q521" s="400"/>
      <c r="R521" s="399"/>
      <c r="S521" s="400"/>
      <c r="T521" s="399"/>
      <c r="U521" s="399"/>
      <c r="V521" s="399"/>
      <c r="W521" s="399"/>
      <c r="X521" s="399"/>
      <c r="Y521" s="287"/>
      <c r="Z521" s="287"/>
      <c r="AX521" s="3"/>
      <c r="AY521" s="3"/>
    </row>
    <row r="522" spans="2:77" ht="15" customHeight="1"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  <c r="V522" s="395"/>
      <c r="W522" s="395"/>
      <c r="X522" s="395"/>
      <c r="Y522" s="287"/>
      <c r="Z522" s="287"/>
      <c r="AX522" s="3"/>
      <c r="AY522" s="3"/>
      <c r="BU522" s="5"/>
      <c r="BV522" s="5"/>
    </row>
    <row r="523" spans="2:77" ht="15" customHeight="1">
      <c r="B523" s="401" t="s">
        <v>383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9"/>
      <c r="S523" s="9"/>
      <c r="T523" s="9"/>
      <c r="U523" s="9"/>
      <c r="V523" s="9"/>
      <c r="W523" s="9"/>
      <c r="X523" s="9"/>
      <c r="Y523" s="9"/>
      <c r="Z523" s="9"/>
      <c r="AC523" s="402"/>
      <c r="AX523" s="3"/>
      <c r="AY523" s="3"/>
      <c r="BU523" s="5"/>
      <c r="BV523" s="5"/>
    </row>
    <row r="524" spans="2:77" ht="15" customHeight="1">
      <c r="B524" s="1104" t="s">
        <v>4</v>
      </c>
      <c r="C524" s="1455"/>
      <c r="D524" s="1455"/>
      <c r="E524" s="1455"/>
      <c r="F524" s="1455"/>
      <c r="G524" s="1455" t="s">
        <v>5</v>
      </c>
      <c r="H524" s="1455"/>
      <c r="I524" s="1455"/>
      <c r="J524" s="1455"/>
      <c r="K524" s="1455"/>
      <c r="L524" s="1455"/>
      <c r="M524" s="1455"/>
      <c r="N524" s="1455"/>
      <c r="O524" s="1599" t="s">
        <v>6</v>
      </c>
      <c r="P524" s="1599"/>
      <c r="Q524" s="1599"/>
      <c r="R524" s="1599"/>
      <c r="S524" s="1599" t="s">
        <v>7</v>
      </c>
      <c r="T524" s="1599"/>
      <c r="U524" s="1599"/>
      <c r="V524" s="1599"/>
      <c r="W524" s="1599"/>
      <c r="X524" s="1455" t="s">
        <v>8</v>
      </c>
      <c r="Y524" s="1455"/>
      <c r="Z524" s="1102"/>
      <c r="AC524" s="403"/>
      <c r="AX524" s="3"/>
      <c r="AY524" s="3"/>
      <c r="BU524" s="5"/>
      <c r="BV524" s="5"/>
    </row>
    <row r="525" spans="2:77" ht="15" customHeight="1">
      <c r="B525" s="1456"/>
      <c r="C525" s="1457"/>
      <c r="D525" s="1457"/>
      <c r="E525" s="1457"/>
      <c r="F525" s="1457"/>
      <c r="G525" s="1600" t="s">
        <v>12</v>
      </c>
      <c r="H525" s="1600"/>
      <c r="I525" s="1600"/>
      <c r="J525" s="1600"/>
      <c r="K525" s="1600" t="s">
        <v>13</v>
      </c>
      <c r="L525" s="1600"/>
      <c r="M525" s="1600"/>
      <c r="N525" s="1600"/>
      <c r="O525" s="1600" t="s">
        <v>14</v>
      </c>
      <c r="P525" s="1600"/>
      <c r="Q525" s="1600"/>
      <c r="R525" s="1600"/>
      <c r="S525" s="1601" t="s">
        <v>15</v>
      </c>
      <c r="T525" s="1601"/>
      <c r="U525" s="1601"/>
      <c r="V525" s="1601"/>
      <c r="W525" s="1601"/>
      <c r="X525" s="1602" t="s">
        <v>16</v>
      </c>
      <c r="Y525" s="1602"/>
      <c r="Z525" s="1603"/>
      <c r="AC525" s="240"/>
      <c r="AX525" s="3"/>
      <c r="AY525" s="3"/>
      <c r="BU525" s="5"/>
      <c r="BV525" s="5"/>
      <c r="BW525" s="5"/>
      <c r="BX525" s="5"/>
      <c r="BY525" s="5"/>
    </row>
    <row r="526" spans="2:77" ht="15" customHeight="1">
      <c r="B526" s="1497" t="s">
        <v>384</v>
      </c>
      <c r="C526" s="1498"/>
      <c r="D526" s="1498"/>
      <c r="E526" s="1498"/>
      <c r="F526" s="1498"/>
      <c r="G526" s="1499">
        <f>+G5</f>
        <v>8.4</v>
      </c>
      <c r="H526" s="1499"/>
      <c r="I526" s="1499"/>
      <c r="J526" s="1499"/>
      <c r="K526" s="1499">
        <f>+K5</f>
        <v>8.8000000000000007</v>
      </c>
      <c r="L526" s="1499"/>
      <c r="M526" s="1499"/>
      <c r="N526" s="1499"/>
      <c r="O526" s="1499">
        <f>+O5</f>
        <v>7.4</v>
      </c>
      <c r="P526" s="1499"/>
      <c r="Q526" s="1499"/>
      <c r="R526" s="1499"/>
      <c r="S526" s="1473">
        <f>+S5</f>
        <v>150</v>
      </c>
      <c r="T526" s="1473"/>
      <c r="U526" s="1473"/>
      <c r="V526" s="1473"/>
      <c r="W526" s="1473"/>
      <c r="X526" s="1453">
        <f>+X5</f>
        <v>6.3</v>
      </c>
      <c r="Y526" s="1453"/>
      <c r="Z526" s="1454"/>
      <c r="AX526" s="3"/>
      <c r="AY526" s="3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 spans="2:77" ht="15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9"/>
      <c r="S527" s="9"/>
      <c r="T527" s="9"/>
      <c r="U527" s="9"/>
      <c r="V527" s="9"/>
      <c r="W527" s="9"/>
      <c r="X527" s="9"/>
      <c r="Y527" s="9"/>
      <c r="Z527" s="9"/>
      <c r="AX527" s="3"/>
      <c r="AY527" s="3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 spans="2:77" ht="15" customHeight="1">
      <c r="B528" s="404" t="s">
        <v>156</v>
      </c>
      <c r="C528" s="404"/>
      <c r="AX528" s="3"/>
      <c r="AY528" s="3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 spans="2:74" ht="15" customHeight="1">
      <c r="B529" s="1462" t="s">
        <v>143</v>
      </c>
      <c r="C529" s="1463"/>
      <c r="D529" s="1463" t="s">
        <v>157</v>
      </c>
      <c r="E529" s="1463"/>
      <c r="F529" s="1463"/>
      <c r="G529" s="1463"/>
      <c r="H529" s="1561" t="s">
        <v>158</v>
      </c>
      <c r="I529" s="1561"/>
      <c r="J529" s="1463" t="s">
        <v>159</v>
      </c>
      <c r="K529" s="1463"/>
      <c r="L529" s="1463"/>
      <c r="M529" s="1463"/>
      <c r="N529" s="1561" t="s">
        <v>160</v>
      </c>
      <c r="O529" s="1561"/>
      <c r="P529" s="1561"/>
      <c r="Q529" s="1561"/>
      <c r="R529" s="1561"/>
      <c r="S529" s="1561" t="s">
        <v>161</v>
      </c>
      <c r="T529" s="1561"/>
      <c r="U529" s="1561"/>
      <c r="V529" s="1561"/>
      <c r="W529" s="1561" t="s">
        <v>162</v>
      </c>
      <c r="X529" s="1561"/>
      <c r="Y529" s="1561"/>
      <c r="Z529" s="1562"/>
      <c r="AX529" s="3"/>
      <c r="AY529" s="3"/>
      <c r="BO529" s="5"/>
      <c r="BP529" s="5"/>
      <c r="BQ529" s="5"/>
      <c r="BR529" s="5"/>
      <c r="BS529" s="5"/>
      <c r="BT529" s="5"/>
      <c r="BU529" s="5"/>
      <c r="BV529" s="5"/>
    </row>
    <row r="530" spans="2:74" ht="15" customHeight="1">
      <c r="B530" s="1594" t="s">
        <v>385</v>
      </c>
      <c r="C530" s="1595"/>
      <c r="D530" s="1595">
        <f>+G526</f>
        <v>8.4</v>
      </c>
      <c r="E530" s="1595"/>
      <c r="F530" s="1595"/>
      <c r="G530" s="1595"/>
      <c r="H530" s="1596">
        <f>+K526</f>
        <v>8.8000000000000007</v>
      </c>
      <c r="I530" s="1596"/>
      <c r="J530" s="1595">
        <f>+O526</f>
        <v>7.4</v>
      </c>
      <c r="K530" s="1595"/>
      <c r="L530" s="1595"/>
      <c r="M530" s="1595"/>
      <c r="N530" s="1596">
        <f>+S526</f>
        <v>150</v>
      </c>
      <c r="O530" s="1596"/>
      <c r="P530" s="1596"/>
      <c r="Q530" s="1596"/>
      <c r="R530" s="1596"/>
      <c r="S530" s="1597">
        <v>1000</v>
      </c>
      <c r="T530" s="1597"/>
      <c r="U530" s="1597"/>
      <c r="V530" s="1597"/>
      <c r="W530" s="1596">
        <v>0</v>
      </c>
      <c r="X530" s="1596"/>
      <c r="Y530" s="1596"/>
      <c r="Z530" s="1598"/>
      <c r="AX530" s="3"/>
      <c r="AY530" s="3"/>
      <c r="BO530" s="5"/>
      <c r="BP530" s="5"/>
      <c r="BQ530" s="5"/>
      <c r="BR530" s="5"/>
      <c r="BS530" s="5"/>
      <c r="BT530" s="5"/>
      <c r="BU530" s="5"/>
      <c r="BV530" s="5"/>
    </row>
    <row r="531" spans="2:74" ht="15" customHeight="1">
      <c r="B531" s="1469"/>
      <c r="C531" s="1470"/>
      <c r="D531" s="1470"/>
      <c r="E531" s="1470"/>
      <c r="F531" s="1470"/>
      <c r="G531" s="1470"/>
      <c r="H531" s="1558"/>
      <c r="I531" s="1558"/>
      <c r="J531" s="1470"/>
      <c r="K531" s="1470"/>
      <c r="L531" s="1470"/>
      <c r="M531" s="1470"/>
      <c r="N531" s="1558"/>
      <c r="O531" s="1558"/>
      <c r="P531" s="1558"/>
      <c r="Q531" s="1558"/>
      <c r="R531" s="1558"/>
      <c r="S531" s="1557"/>
      <c r="T531" s="1557"/>
      <c r="U531" s="1557"/>
      <c r="V531" s="1557"/>
      <c r="W531" s="1558"/>
      <c r="X531" s="1558"/>
      <c r="Y531" s="1558"/>
      <c r="Z531" s="1559"/>
      <c r="AX531" s="3"/>
      <c r="AY531" s="3"/>
      <c r="BO531" s="5"/>
      <c r="BP531" s="5"/>
      <c r="BQ531" s="5"/>
      <c r="BR531" s="5"/>
      <c r="BS531" s="5"/>
      <c r="BT531" s="5"/>
      <c r="BU531" s="5"/>
      <c r="BV531" s="5"/>
    </row>
    <row r="532" spans="2:74" ht="15" customHeight="1">
      <c r="B532" s="395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X532" s="3"/>
      <c r="AY532" s="3"/>
      <c r="BO532" s="5"/>
      <c r="BP532" s="5"/>
      <c r="BQ532" s="5"/>
      <c r="BR532" s="5"/>
      <c r="BS532" s="5"/>
      <c r="BT532" s="5"/>
      <c r="BU532" s="5"/>
      <c r="BV532" s="5"/>
    </row>
    <row r="533" spans="2:74" ht="15" customHeight="1">
      <c r="B533" s="395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BO533" s="5"/>
      <c r="BP533" s="5"/>
      <c r="BQ533" s="5"/>
      <c r="BR533" s="5"/>
      <c r="BS533" s="5"/>
      <c r="BT533" s="5"/>
      <c r="BU533" s="5"/>
      <c r="BV533" s="5"/>
    </row>
    <row r="534" spans="2:74" ht="15" customHeight="1">
      <c r="B534" s="405" t="s">
        <v>386</v>
      </c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BO534" s="5"/>
      <c r="BP534" s="5"/>
      <c r="BQ534" s="5"/>
      <c r="BR534" s="5"/>
      <c r="BS534" s="5"/>
      <c r="BT534" s="5"/>
    </row>
    <row r="535" spans="2:74" ht="15" customHeight="1">
      <c r="B535" s="1591" t="s">
        <v>387</v>
      </c>
      <c r="C535" s="1592"/>
      <c r="D535" s="1592"/>
      <c r="E535" s="1592"/>
      <c r="F535" s="1451" t="s">
        <v>388</v>
      </c>
      <c r="G535" s="1451"/>
      <c r="H535" s="1451"/>
      <c r="I535" s="1451"/>
      <c r="J535" s="1451"/>
      <c r="K535" s="1451"/>
      <c r="L535" s="1451"/>
      <c r="M535" s="1451"/>
      <c r="N535" s="1451" t="s">
        <v>389</v>
      </c>
      <c r="O535" s="1451"/>
      <c r="P535" s="1451"/>
      <c r="Q535" s="1451"/>
      <c r="R535" s="1451"/>
      <c r="S535" s="1451"/>
      <c r="T535" s="1451"/>
      <c r="U535" s="1451"/>
      <c r="V535" s="1451"/>
      <c r="W535" s="1451" t="s">
        <v>56</v>
      </c>
      <c r="X535" s="1451"/>
      <c r="Y535" s="1451"/>
      <c r="Z535" s="1452"/>
      <c r="BO535" s="5"/>
      <c r="BP535" s="5"/>
      <c r="BQ535" s="5"/>
      <c r="BR535" s="5"/>
      <c r="BS535" s="5"/>
      <c r="BT535" s="5"/>
    </row>
    <row r="536" spans="2:74" ht="15" customHeight="1">
      <c r="B536" s="1586">
        <f>+S526</f>
        <v>150</v>
      </c>
      <c r="C536" s="1587"/>
      <c r="D536" s="1587"/>
      <c r="E536" s="1587"/>
      <c r="F536" s="1593">
        <f>+S208</f>
        <v>562.4407574666667</v>
      </c>
      <c r="G536" s="1593"/>
      <c r="H536" s="1593"/>
      <c r="I536" s="1593"/>
      <c r="J536" s="1593"/>
      <c r="K536" s="1593"/>
      <c r="L536" s="1593"/>
      <c r="M536" s="1593"/>
      <c r="N536" s="1593">
        <f>+S252</f>
        <v>626.06000000000006</v>
      </c>
      <c r="O536" s="1593"/>
      <c r="P536" s="1593"/>
      <c r="Q536" s="1593"/>
      <c r="R536" s="1593"/>
      <c r="S536" s="1593"/>
      <c r="T536" s="1593"/>
      <c r="U536" s="1593"/>
      <c r="V536" s="1593"/>
      <c r="W536" s="1493"/>
      <c r="X536" s="1493"/>
      <c r="Y536" s="1493"/>
      <c r="Z536" s="1494"/>
      <c r="BO536" s="5"/>
      <c r="BP536" s="5"/>
      <c r="BQ536" s="5"/>
      <c r="BR536" s="5"/>
      <c r="BS536" s="5"/>
      <c r="BT536" s="5"/>
    </row>
    <row r="537" spans="2:74" ht="15" customHeight="1">
      <c r="B537" s="1589"/>
      <c r="C537" s="1590"/>
      <c r="D537" s="1590"/>
      <c r="E537" s="1590"/>
      <c r="F537" s="1443" t="str">
        <f>+IF(F536&gt;B536,"O.K","N.G")</f>
        <v>O.K</v>
      </c>
      <c r="G537" s="1443"/>
      <c r="H537" s="1443"/>
      <c r="I537" s="1443"/>
      <c r="J537" s="1443"/>
      <c r="K537" s="1443"/>
      <c r="L537" s="1443"/>
      <c r="M537" s="1443"/>
      <c r="N537" s="1443" t="str">
        <f>+IF(N536&gt;B536,"O.K","N.G")</f>
        <v>O.K</v>
      </c>
      <c r="O537" s="1443"/>
      <c r="P537" s="1443"/>
      <c r="Q537" s="1443"/>
      <c r="R537" s="1443"/>
      <c r="S537" s="1443"/>
      <c r="T537" s="1443"/>
      <c r="U537" s="1443"/>
      <c r="V537" s="1443"/>
      <c r="W537" s="1443"/>
      <c r="X537" s="1443"/>
      <c r="Y537" s="1443"/>
      <c r="Z537" s="1444"/>
      <c r="BO537" s="5"/>
      <c r="BP537" s="5"/>
      <c r="BQ537" s="5"/>
      <c r="BR537" s="5"/>
      <c r="BS537" s="5"/>
      <c r="BT537" s="5"/>
    </row>
    <row r="538" spans="2:74" ht="15" customHeight="1">
      <c r="B538" s="395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spans="2:74" ht="15" customHeight="1">
      <c r="B539" s="395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spans="2:74" ht="15" customHeight="1">
      <c r="B540" s="395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BU540" s="5"/>
      <c r="BV540" s="5"/>
    </row>
    <row r="541" spans="2:74" ht="15" customHeight="1">
      <c r="B541" s="405" t="s">
        <v>390</v>
      </c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BU541" s="5"/>
      <c r="BV541" s="5"/>
    </row>
    <row r="542" spans="2:74" ht="15" customHeight="1">
      <c r="B542" s="1591" t="s">
        <v>391</v>
      </c>
      <c r="C542" s="1592"/>
      <c r="D542" s="1592"/>
      <c r="E542" s="1592"/>
      <c r="F542" s="1451" t="s">
        <v>392</v>
      </c>
      <c r="G542" s="1451"/>
      <c r="H542" s="1451"/>
      <c r="I542" s="1451"/>
      <c r="J542" s="1451"/>
      <c r="K542" s="1451"/>
      <c r="L542" s="1451"/>
      <c r="M542" s="1451"/>
      <c r="N542" s="1451" t="s">
        <v>393</v>
      </c>
      <c r="O542" s="1451"/>
      <c r="P542" s="1451"/>
      <c r="Q542" s="1451"/>
      <c r="R542" s="1451"/>
      <c r="S542" s="1451"/>
      <c r="T542" s="1451"/>
      <c r="U542" s="1451"/>
      <c r="V542" s="1451"/>
      <c r="W542" s="1451" t="s">
        <v>56</v>
      </c>
      <c r="X542" s="1451"/>
      <c r="Y542" s="1451"/>
      <c r="Z542" s="1452"/>
    </row>
    <row r="543" spans="2:74" ht="15" customHeight="1">
      <c r="B543" s="1586">
        <v>25.4</v>
      </c>
      <c r="C543" s="1587"/>
      <c r="D543" s="1587"/>
      <c r="E543" s="1587"/>
      <c r="F543" s="1588">
        <f>+S377</f>
        <v>2.3632760360696694</v>
      </c>
      <c r="G543" s="1588"/>
      <c r="H543" s="1588"/>
      <c r="I543" s="1588"/>
      <c r="J543" s="1588"/>
      <c r="K543" s="1588"/>
      <c r="L543" s="1588"/>
      <c r="M543" s="1588"/>
      <c r="N543" s="1588">
        <f>+S498</f>
        <v>0.56457224578419374</v>
      </c>
      <c r="O543" s="1588"/>
      <c r="P543" s="1588"/>
      <c r="Q543" s="1588"/>
      <c r="R543" s="1588"/>
      <c r="S543" s="1588"/>
      <c r="T543" s="1588"/>
      <c r="U543" s="1588"/>
      <c r="V543" s="1588"/>
      <c r="W543" s="1493"/>
      <c r="X543" s="1493"/>
      <c r="Y543" s="1493"/>
      <c r="Z543" s="1494"/>
    </row>
    <row r="544" spans="2:74" ht="15" customHeight="1">
      <c r="B544" s="1589"/>
      <c r="C544" s="1590"/>
      <c r="D544" s="1590"/>
      <c r="E544" s="1590"/>
      <c r="F544" s="1443" t="str">
        <f>+IF(F543&lt;B543,"O.K","N.G")</f>
        <v>O.K</v>
      </c>
      <c r="G544" s="1443"/>
      <c r="H544" s="1443"/>
      <c r="I544" s="1443"/>
      <c r="J544" s="1443"/>
      <c r="K544" s="1443"/>
      <c r="L544" s="1443"/>
      <c r="M544" s="1443"/>
      <c r="N544" s="1443" t="str">
        <f>+IF(N543&lt;B543,"O.K","N.G")</f>
        <v>O.K</v>
      </c>
      <c r="O544" s="1443"/>
      <c r="P544" s="1443"/>
      <c r="Q544" s="1443"/>
      <c r="R544" s="1443"/>
      <c r="S544" s="1443"/>
      <c r="T544" s="1443"/>
      <c r="U544" s="1443"/>
      <c r="V544" s="1443"/>
      <c r="W544" s="1443"/>
      <c r="X544" s="1443"/>
      <c r="Y544" s="1443"/>
      <c r="Z544" s="1444"/>
    </row>
    <row r="545" spans="2:26" ht="15" customHeight="1">
      <c r="B545" s="395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</sheetData>
  <mergeCells count="1649">
    <mergeCell ref="B1:Q1"/>
    <mergeCell ref="B3:F4"/>
    <mergeCell ref="G3:N3"/>
    <mergeCell ref="O3:R3"/>
    <mergeCell ref="S3:W3"/>
    <mergeCell ref="X3:Z3"/>
    <mergeCell ref="G4:J4"/>
    <mergeCell ref="K4:N4"/>
    <mergeCell ref="O4:R4"/>
    <mergeCell ref="S4:W4"/>
    <mergeCell ref="BA6:BB6"/>
    <mergeCell ref="BE6:BF6"/>
    <mergeCell ref="BG6:BH6"/>
    <mergeCell ref="BL6:BM6"/>
    <mergeCell ref="BN6:BO6"/>
    <mergeCell ref="BA7:BB7"/>
    <mergeCell ref="BE7:BF7"/>
    <mergeCell ref="BG7:BH7"/>
    <mergeCell ref="BL7:BM7"/>
    <mergeCell ref="BN7:BO7"/>
    <mergeCell ref="BJ4:BJ5"/>
    <mergeCell ref="BL4:BM5"/>
    <mergeCell ref="BN4:BO5"/>
    <mergeCell ref="B5:F5"/>
    <mergeCell ref="G5:J5"/>
    <mergeCell ref="K5:N5"/>
    <mergeCell ref="O5:R5"/>
    <mergeCell ref="S5:W5"/>
    <mergeCell ref="X5:Z5"/>
    <mergeCell ref="X4:Z4"/>
    <mergeCell ref="AX4:AZ5"/>
    <mergeCell ref="BA4:BB5"/>
    <mergeCell ref="BD4:BD5"/>
    <mergeCell ref="BF4:BF5"/>
    <mergeCell ref="BH4:BH5"/>
    <mergeCell ref="CA8:CE8"/>
    <mergeCell ref="B9:C10"/>
    <mergeCell ref="D9:G10"/>
    <mergeCell ref="H9:J9"/>
    <mergeCell ref="K9:M9"/>
    <mergeCell ref="N9:O9"/>
    <mergeCell ref="P9:Q10"/>
    <mergeCell ref="R9:T9"/>
    <mergeCell ref="U9:W9"/>
    <mergeCell ref="X9:Z10"/>
    <mergeCell ref="BQ7:BU7"/>
    <mergeCell ref="BV7:BZ7"/>
    <mergeCell ref="CA7:CE7"/>
    <mergeCell ref="BA8:BB8"/>
    <mergeCell ref="BE8:BF8"/>
    <mergeCell ref="BG8:BH8"/>
    <mergeCell ref="BL8:BM8"/>
    <mergeCell ref="BN8:BO8"/>
    <mergeCell ref="BQ8:BU11"/>
    <mergeCell ref="BV8:BZ8"/>
    <mergeCell ref="BN9:BO9"/>
    <mergeCell ref="BV9:BZ9"/>
    <mergeCell ref="CA9:CE9"/>
    <mergeCell ref="H10:J10"/>
    <mergeCell ref="K10:M10"/>
    <mergeCell ref="N10:O10"/>
    <mergeCell ref="R10:T10"/>
    <mergeCell ref="U10:W10"/>
    <mergeCell ref="BA10:BB10"/>
    <mergeCell ref="BE10:BF10"/>
    <mergeCell ref="AH9:AJ10"/>
    <mergeCell ref="AK9:AM10"/>
    <mergeCell ref="BA9:BB9"/>
    <mergeCell ref="BE9:BF9"/>
    <mergeCell ref="BG9:BH9"/>
    <mergeCell ref="BL9:BM9"/>
    <mergeCell ref="BG10:BH10"/>
    <mergeCell ref="BL10:BM10"/>
    <mergeCell ref="BE11:BF11"/>
    <mergeCell ref="BG11:BH11"/>
    <mergeCell ref="BL11:BM11"/>
    <mergeCell ref="BN11:BO11"/>
    <mergeCell ref="BV11:BZ11"/>
    <mergeCell ref="CA11:CE11"/>
    <mergeCell ref="R11:T11"/>
    <mergeCell ref="U11:W11"/>
    <mergeCell ref="X11:Z11"/>
    <mergeCell ref="AH11:AJ11"/>
    <mergeCell ref="AK11:AM11"/>
    <mergeCell ref="BA11:BB11"/>
    <mergeCell ref="BN10:BO10"/>
    <mergeCell ref="BV10:BZ10"/>
    <mergeCell ref="CA10:CE10"/>
    <mergeCell ref="B11:C11"/>
    <mergeCell ref="D11:E11"/>
    <mergeCell ref="F11:G11"/>
    <mergeCell ref="H11:J11"/>
    <mergeCell ref="K11:M11"/>
    <mergeCell ref="N11:O11"/>
    <mergeCell ref="P11:Q11"/>
    <mergeCell ref="BV12:BZ12"/>
    <mergeCell ref="CA12:CE12"/>
    <mergeCell ref="B13:C13"/>
    <mergeCell ref="D13:E13"/>
    <mergeCell ref="F13:G13"/>
    <mergeCell ref="H13:J13"/>
    <mergeCell ref="K13:M13"/>
    <mergeCell ref="N13:O13"/>
    <mergeCell ref="P13:Q13"/>
    <mergeCell ref="R13:T13"/>
    <mergeCell ref="BA12:BB12"/>
    <mergeCell ref="BE12:BF12"/>
    <mergeCell ref="BG12:BH12"/>
    <mergeCell ref="BL12:BM12"/>
    <mergeCell ref="BN12:BO12"/>
    <mergeCell ref="BQ12:BU12"/>
    <mergeCell ref="P12:Q12"/>
    <mergeCell ref="R12:T12"/>
    <mergeCell ref="U12:W12"/>
    <mergeCell ref="X12:Z12"/>
    <mergeCell ref="AH12:AJ12"/>
    <mergeCell ref="AK12:AM12"/>
    <mergeCell ref="B12:C12"/>
    <mergeCell ref="D12:E12"/>
    <mergeCell ref="F12:G12"/>
    <mergeCell ref="H12:J12"/>
    <mergeCell ref="K12:M12"/>
    <mergeCell ref="N12:O12"/>
    <mergeCell ref="AH14:AJ14"/>
    <mergeCell ref="AK14:AM14"/>
    <mergeCell ref="B14:C14"/>
    <mergeCell ref="D14:E14"/>
    <mergeCell ref="F14:G14"/>
    <mergeCell ref="H14:J14"/>
    <mergeCell ref="K14:M14"/>
    <mergeCell ref="N14:O14"/>
    <mergeCell ref="BG13:BH13"/>
    <mergeCell ref="BL13:BM13"/>
    <mergeCell ref="BN13:BO13"/>
    <mergeCell ref="BQ13:BU13"/>
    <mergeCell ref="BV13:BZ13"/>
    <mergeCell ref="CA13:CE13"/>
    <mergeCell ref="U13:W13"/>
    <mergeCell ref="X13:Z13"/>
    <mergeCell ref="AH13:AJ13"/>
    <mergeCell ref="AK13:AM13"/>
    <mergeCell ref="BA13:BB13"/>
    <mergeCell ref="BE13:BF13"/>
    <mergeCell ref="BG15:BH15"/>
    <mergeCell ref="BL15:BM15"/>
    <mergeCell ref="BN15:BO15"/>
    <mergeCell ref="BQ15:BU15"/>
    <mergeCell ref="BV15:BZ15"/>
    <mergeCell ref="CA15:CE15"/>
    <mergeCell ref="U15:W15"/>
    <mergeCell ref="X15:Z15"/>
    <mergeCell ref="AH15:AJ15"/>
    <mergeCell ref="AK15:AM15"/>
    <mergeCell ref="BA15:BB15"/>
    <mergeCell ref="BE15:BF15"/>
    <mergeCell ref="BV14:BZ14"/>
    <mergeCell ref="CA14:CE14"/>
    <mergeCell ref="B15:C15"/>
    <mergeCell ref="D15:E15"/>
    <mergeCell ref="F15:G15"/>
    <mergeCell ref="H15:J15"/>
    <mergeCell ref="K15:M15"/>
    <mergeCell ref="N15:O15"/>
    <mergeCell ref="P15:Q15"/>
    <mergeCell ref="R15:T15"/>
    <mergeCell ref="BA14:BB14"/>
    <mergeCell ref="BE14:BF14"/>
    <mergeCell ref="BG14:BH14"/>
    <mergeCell ref="BL14:BM14"/>
    <mergeCell ref="BN14:BO14"/>
    <mergeCell ref="BQ14:BU14"/>
    <mergeCell ref="P14:Q14"/>
    <mergeCell ref="R14:T14"/>
    <mergeCell ref="U14:W14"/>
    <mergeCell ref="X14:Z14"/>
    <mergeCell ref="BG16:BH16"/>
    <mergeCell ref="BL16:BM16"/>
    <mergeCell ref="BN16:BO16"/>
    <mergeCell ref="BQ16:BU17"/>
    <mergeCell ref="BV16:BZ16"/>
    <mergeCell ref="CA16:CE16"/>
    <mergeCell ref="BN17:BO17"/>
    <mergeCell ref="BV17:BZ17"/>
    <mergeCell ref="CA17:CE17"/>
    <mergeCell ref="U16:W16"/>
    <mergeCell ref="X16:Z16"/>
    <mergeCell ref="AH16:AJ16"/>
    <mergeCell ref="AK16:AM16"/>
    <mergeCell ref="BA16:BB16"/>
    <mergeCell ref="BE16:BF16"/>
    <mergeCell ref="B16:G16"/>
    <mergeCell ref="H16:J16"/>
    <mergeCell ref="K16:M16"/>
    <mergeCell ref="N16:O16"/>
    <mergeCell ref="P16:Q16"/>
    <mergeCell ref="R16:T16"/>
    <mergeCell ref="BN18:BO18"/>
    <mergeCell ref="BQ18:BU18"/>
    <mergeCell ref="BV18:BZ18"/>
    <mergeCell ref="CA18:CE18"/>
    <mergeCell ref="Y19:AA19"/>
    <mergeCell ref="AH19:AJ19"/>
    <mergeCell ref="AK19:AM19"/>
    <mergeCell ref="BA19:BB19"/>
    <mergeCell ref="BE19:BF19"/>
    <mergeCell ref="BG19:BH19"/>
    <mergeCell ref="AH18:AJ18"/>
    <mergeCell ref="AK18:AM18"/>
    <mergeCell ref="BA18:BB18"/>
    <mergeCell ref="BE18:BF18"/>
    <mergeCell ref="BG18:BH18"/>
    <mergeCell ref="BL18:BM18"/>
    <mergeCell ref="AH17:AJ17"/>
    <mergeCell ref="AK17:AM17"/>
    <mergeCell ref="BA17:BB17"/>
    <mergeCell ref="BE17:BF17"/>
    <mergeCell ref="BG17:BH17"/>
    <mergeCell ref="BL17:BM17"/>
    <mergeCell ref="BQ20:BU20"/>
    <mergeCell ref="BV20:BZ20"/>
    <mergeCell ref="CA20:CE20"/>
    <mergeCell ref="Y21:AA21"/>
    <mergeCell ref="BA21:BB21"/>
    <mergeCell ref="BE21:BF21"/>
    <mergeCell ref="BG21:BH21"/>
    <mergeCell ref="BL21:BM21"/>
    <mergeCell ref="BN21:BO21"/>
    <mergeCell ref="BQ21:BU24"/>
    <mergeCell ref="BL19:BM19"/>
    <mergeCell ref="BN19:BO19"/>
    <mergeCell ref="BQ19:BU19"/>
    <mergeCell ref="BV19:BZ19"/>
    <mergeCell ref="CA19:CE19"/>
    <mergeCell ref="BA20:BB20"/>
    <mergeCell ref="BE20:BF20"/>
    <mergeCell ref="BG20:BH20"/>
    <mergeCell ref="BL20:BM20"/>
    <mergeCell ref="BN20:BO20"/>
    <mergeCell ref="CA23:CE23"/>
    <mergeCell ref="BA24:BB24"/>
    <mergeCell ref="BE24:BF24"/>
    <mergeCell ref="BG24:BH24"/>
    <mergeCell ref="BL24:BM24"/>
    <mergeCell ref="BN24:BO24"/>
    <mergeCell ref="BV24:BZ24"/>
    <mergeCell ref="CA24:CE24"/>
    <mergeCell ref="BA23:BB23"/>
    <mergeCell ref="BE23:BF23"/>
    <mergeCell ref="BG23:BH23"/>
    <mergeCell ref="BL23:BM23"/>
    <mergeCell ref="BN23:BO23"/>
    <mergeCell ref="BV23:BZ23"/>
    <mergeCell ref="BV21:BZ21"/>
    <mergeCell ref="CA21:CE21"/>
    <mergeCell ref="BA22:BB22"/>
    <mergeCell ref="BE22:BF22"/>
    <mergeCell ref="BG22:BH22"/>
    <mergeCell ref="BL22:BM22"/>
    <mergeCell ref="BN22:BO22"/>
    <mergeCell ref="BV22:BZ22"/>
    <mergeCell ref="CA22:CE22"/>
    <mergeCell ref="BV27:BZ27"/>
    <mergeCell ref="CA27:CE27"/>
    <mergeCell ref="BA28:BB28"/>
    <mergeCell ref="BE28:BF28"/>
    <mergeCell ref="BG28:BH28"/>
    <mergeCell ref="BL28:BM28"/>
    <mergeCell ref="BN28:BO28"/>
    <mergeCell ref="BQ28:BU28"/>
    <mergeCell ref="BV28:BZ28"/>
    <mergeCell ref="CA28:CE28"/>
    <mergeCell ref="BA27:BB27"/>
    <mergeCell ref="BE27:BF27"/>
    <mergeCell ref="BG27:BH27"/>
    <mergeCell ref="BL27:BM27"/>
    <mergeCell ref="BN27:BO27"/>
    <mergeCell ref="BQ27:BU27"/>
    <mergeCell ref="BV25:BZ25"/>
    <mergeCell ref="CA25:CE25"/>
    <mergeCell ref="BA26:BB26"/>
    <mergeCell ref="BE26:BF26"/>
    <mergeCell ref="BG26:BH26"/>
    <mergeCell ref="BL26:BM26"/>
    <mergeCell ref="BN26:BO26"/>
    <mergeCell ref="BQ26:BU26"/>
    <mergeCell ref="BV26:BZ26"/>
    <mergeCell ref="CA26:CE26"/>
    <mergeCell ref="BA25:BB25"/>
    <mergeCell ref="BE25:BF25"/>
    <mergeCell ref="BG25:BH25"/>
    <mergeCell ref="BL25:BM25"/>
    <mergeCell ref="BN25:BO25"/>
    <mergeCell ref="BQ25:BU25"/>
    <mergeCell ref="BV31:BZ31"/>
    <mergeCell ref="CA31:CE31"/>
    <mergeCell ref="BA32:BB32"/>
    <mergeCell ref="BE32:BF32"/>
    <mergeCell ref="BG32:BH32"/>
    <mergeCell ref="BL32:BM32"/>
    <mergeCell ref="BN32:BO32"/>
    <mergeCell ref="BQ32:BU32"/>
    <mergeCell ref="BV32:BZ32"/>
    <mergeCell ref="CA32:CE32"/>
    <mergeCell ref="BA31:BB31"/>
    <mergeCell ref="BE31:BF31"/>
    <mergeCell ref="BG31:BH31"/>
    <mergeCell ref="BL31:BM31"/>
    <mergeCell ref="BN31:BO31"/>
    <mergeCell ref="BQ31:BU31"/>
    <mergeCell ref="BV29:BZ29"/>
    <mergeCell ref="CA29:CE29"/>
    <mergeCell ref="BA30:BB30"/>
    <mergeCell ref="BE30:BF30"/>
    <mergeCell ref="BG30:BH30"/>
    <mergeCell ref="BL30:BM30"/>
    <mergeCell ref="BN30:BO30"/>
    <mergeCell ref="BV30:BZ30"/>
    <mergeCell ref="CA30:CE30"/>
    <mergeCell ref="BA29:BB29"/>
    <mergeCell ref="BE29:BF29"/>
    <mergeCell ref="BG29:BH29"/>
    <mergeCell ref="BL29:BM29"/>
    <mergeCell ref="BN29:BO29"/>
    <mergeCell ref="BQ29:BU30"/>
    <mergeCell ref="M65:N65"/>
    <mergeCell ref="M66:N66"/>
    <mergeCell ref="M67:N67"/>
    <mergeCell ref="K70:O70"/>
    <mergeCell ref="AN70:AR70"/>
    <mergeCell ref="K72:O72"/>
    <mergeCell ref="AN72:AR72"/>
    <mergeCell ref="M54:N54"/>
    <mergeCell ref="AP54:AQ54"/>
    <mergeCell ref="K61:O61"/>
    <mergeCell ref="J62:K62"/>
    <mergeCell ref="M63:N63"/>
    <mergeCell ref="M64:N64"/>
    <mergeCell ref="BF33:BG33"/>
    <mergeCell ref="BH33:BI33"/>
    <mergeCell ref="J45:K45"/>
    <mergeCell ref="K46:O46"/>
    <mergeCell ref="M47:N47"/>
    <mergeCell ref="K53:O53"/>
    <mergeCell ref="AN53:AR53"/>
    <mergeCell ref="B87:D87"/>
    <mergeCell ref="E87:H87"/>
    <mergeCell ref="I87:N87"/>
    <mergeCell ref="O87:T87"/>
    <mergeCell ref="U87:Z87"/>
    <mergeCell ref="B88:D88"/>
    <mergeCell ref="E88:H88"/>
    <mergeCell ref="I88:N88"/>
    <mergeCell ref="O88:T88"/>
    <mergeCell ref="U88:Z88"/>
    <mergeCell ref="M76:N76"/>
    <mergeCell ref="AP76:AQ76"/>
    <mergeCell ref="M77:N77"/>
    <mergeCell ref="AP77:AQ77"/>
    <mergeCell ref="M78:N78"/>
    <mergeCell ref="AP78:AQ78"/>
    <mergeCell ref="J73:K73"/>
    <mergeCell ref="AM73:AN73"/>
    <mergeCell ref="M74:N74"/>
    <mergeCell ref="AP74:AQ74"/>
    <mergeCell ref="M75:N75"/>
    <mergeCell ref="AP75:AQ75"/>
    <mergeCell ref="Q95:T95"/>
    <mergeCell ref="U95:Z95"/>
    <mergeCell ref="B96:C97"/>
    <mergeCell ref="D96:G97"/>
    <mergeCell ref="H96:I97"/>
    <mergeCell ref="J96:M97"/>
    <mergeCell ref="N96:P97"/>
    <mergeCell ref="Q96:T97"/>
    <mergeCell ref="U96:Z97"/>
    <mergeCell ref="B89:D89"/>
    <mergeCell ref="E89:H89"/>
    <mergeCell ref="I89:N89"/>
    <mergeCell ref="O89:T89"/>
    <mergeCell ref="U89:Z89"/>
    <mergeCell ref="B95:C95"/>
    <mergeCell ref="D95:G95"/>
    <mergeCell ref="H95:I95"/>
    <mergeCell ref="J95:M95"/>
    <mergeCell ref="N95:P95"/>
    <mergeCell ref="AG105:AI106"/>
    <mergeCell ref="D106:G106"/>
    <mergeCell ref="H106:J106"/>
    <mergeCell ref="K106:M106"/>
    <mergeCell ref="N106:O106"/>
    <mergeCell ref="R106:T106"/>
    <mergeCell ref="U106:W106"/>
    <mergeCell ref="N105:O105"/>
    <mergeCell ref="P105:Q106"/>
    <mergeCell ref="R105:T105"/>
    <mergeCell ref="U105:W105"/>
    <mergeCell ref="X105:Z106"/>
    <mergeCell ref="AD105:AF106"/>
    <mergeCell ref="F99:G99"/>
    <mergeCell ref="K99:M99"/>
    <mergeCell ref="B105:C106"/>
    <mergeCell ref="D105:G105"/>
    <mergeCell ref="H105:J105"/>
    <mergeCell ref="K105:M105"/>
    <mergeCell ref="P108:Q108"/>
    <mergeCell ref="R108:T108"/>
    <mergeCell ref="U108:W108"/>
    <mergeCell ref="X108:Z108"/>
    <mergeCell ref="AD108:AF108"/>
    <mergeCell ref="AG108:AI108"/>
    <mergeCell ref="B108:C108"/>
    <mergeCell ref="D108:E108"/>
    <mergeCell ref="F108:G108"/>
    <mergeCell ref="H108:J108"/>
    <mergeCell ref="K108:M108"/>
    <mergeCell ref="N108:O108"/>
    <mergeCell ref="P107:Q107"/>
    <mergeCell ref="R107:T107"/>
    <mergeCell ref="U107:W107"/>
    <mergeCell ref="X107:Z107"/>
    <mergeCell ref="AD107:AF107"/>
    <mergeCell ref="AG107:AI107"/>
    <mergeCell ref="B107:C107"/>
    <mergeCell ref="D107:E107"/>
    <mergeCell ref="F107:G107"/>
    <mergeCell ref="H107:J107"/>
    <mergeCell ref="K107:M107"/>
    <mergeCell ref="N107:O107"/>
    <mergeCell ref="P110:Q110"/>
    <mergeCell ref="R110:T110"/>
    <mergeCell ref="U110:W110"/>
    <mergeCell ref="X110:Z110"/>
    <mergeCell ref="AD110:AF110"/>
    <mergeCell ref="AG110:AI110"/>
    <mergeCell ref="B110:C110"/>
    <mergeCell ref="D110:E110"/>
    <mergeCell ref="F110:G110"/>
    <mergeCell ref="H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C109"/>
    <mergeCell ref="D109:E109"/>
    <mergeCell ref="F109:G109"/>
    <mergeCell ref="H109:J109"/>
    <mergeCell ref="K109:M109"/>
    <mergeCell ref="N109:O109"/>
    <mergeCell ref="U112:W112"/>
    <mergeCell ref="X112:Z112"/>
    <mergeCell ref="AD112:AF112"/>
    <mergeCell ref="AG112:AI112"/>
    <mergeCell ref="AD113:AF113"/>
    <mergeCell ref="AG113:AI113"/>
    <mergeCell ref="B112:G112"/>
    <mergeCell ref="H112:J112"/>
    <mergeCell ref="K112:M112"/>
    <mergeCell ref="N112:O112"/>
    <mergeCell ref="P112:Q112"/>
    <mergeCell ref="R112:T112"/>
    <mergeCell ref="P111:Q111"/>
    <mergeCell ref="R111:T111"/>
    <mergeCell ref="U111:W111"/>
    <mergeCell ref="X111:Z111"/>
    <mergeCell ref="AD111:AF111"/>
    <mergeCell ref="AG111:AI111"/>
    <mergeCell ref="B111:C111"/>
    <mergeCell ref="D111:E111"/>
    <mergeCell ref="F111:G111"/>
    <mergeCell ref="H111:J111"/>
    <mergeCell ref="K111:M111"/>
    <mergeCell ref="N111:O111"/>
    <mergeCell ref="AL126:AM126"/>
    <mergeCell ref="AL128:AM128"/>
    <mergeCell ref="B142:E142"/>
    <mergeCell ref="F142:K142"/>
    <mergeCell ref="L142:R142"/>
    <mergeCell ref="S142:Z142"/>
    <mergeCell ref="AN117:AP117"/>
    <mergeCell ref="U119:W119"/>
    <mergeCell ref="AL119:AM119"/>
    <mergeCell ref="AH120:AI120"/>
    <mergeCell ref="AL122:AM122"/>
    <mergeCell ref="AL124:AM124"/>
    <mergeCell ref="K114:W114"/>
    <mergeCell ref="AD114:AF114"/>
    <mergeCell ref="AG114:AI114"/>
    <mergeCell ref="AD115:AF115"/>
    <mergeCell ref="AG115:AI115"/>
    <mergeCell ref="U116:W116"/>
    <mergeCell ref="B146:E146"/>
    <mergeCell ref="F146:K146"/>
    <mergeCell ref="L146:R146"/>
    <mergeCell ref="S146:Z146"/>
    <mergeCell ref="J149:N150"/>
    <mergeCell ref="O149:Z149"/>
    <mergeCell ref="O150:R150"/>
    <mergeCell ref="S150:V150"/>
    <mergeCell ref="W150:Z150"/>
    <mergeCell ref="B143:E143"/>
    <mergeCell ref="F143:K143"/>
    <mergeCell ref="L143:R143"/>
    <mergeCell ref="S143:Z143"/>
    <mergeCell ref="B145:E145"/>
    <mergeCell ref="F145:K145"/>
    <mergeCell ref="L145:R145"/>
    <mergeCell ref="S145:Z145"/>
    <mergeCell ref="P154:Q154"/>
    <mergeCell ref="T154:U154"/>
    <mergeCell ref="X154:Y154"/>
    <mergeCell ref="P155:Q155"/>
    <mergeCell ref="T155:U155"/>
    <mergeCell ref="X155:Y155"/>
    <mergeCell ref="P152:Q152"/>
    <mergeCell ref="T152:U152"/>
    <mergeCell ref="X152:Y152"/>
    <mergeCell ref="AJ152:AK152"/>
    <mergeCell ref="AL152:AM152"/>
    <mergeCell ref="P153:Q153"/>
    <mergeCell ref="T153:U153"/>
    <mergeCell ref="X153:Y153"/>
    <mergeCell ref="AJ150:AK150"/>
    <mergeCell ref="AL150:AM150"/>
    <mergeCell ref="P151:Q151"/>
    <mergeCell ref="T151:U151"/>
    <mergeCell ref="X151:Y151"/>
    <mergeCell ref="AJ151:AK151"/>
    <mergeCell ref="AL151:AM151"/>
    <mergeCell ref="P160:Q160"/>
    <mergeCell ref="T160:U160"/>
    <mergeCell ref="X160:Y160"/>
    <mergeCell ref="P161:Q161"/>
    <mergeCell ref="T161:U161"/>
    <mergeCell ref="X161:Y161"/>
    <mergeCell ref="P158:Q158"/>
    <mergeCell ref="T158:U158"/>
    <mergeCell ref="X158:Y158"/>
    <mergeCell ref="P159:Q159"/>
    <mergeCell ref="T159:U159"/>
    <mergeCell ref="X159:Y159"/>
    <mergeCell ref="P156:Q156"/>
    <mergeCell ref="T156:U156"/>
    <mergeCell ref="X156:Y156"/>
    <mergeCell ref="P157:Q157"/>
    <mergeCell ref="T157:U157"/>
    <mergeCell ref="X157:Y157"/>
    <mergeCell ref="X167:Z168"/>
    <mergeCell ref="B168:G168"/>
    <mergeCell ref="B169:G169"/>
    <mergeCell ref="H169:J169"/>
    <mergeCell ref="K169:O169"/>
    <mergeCell ref="P169:T169"/>
    <mergeCell ref="U169:W169"/>
    <mergeCell ref="X169:Z169"/>
    <mergeCell ref="B166:D166"/>
    <mergeCell ref="B167:G167"/>
    <mergeCell ref="H167:J168"/>
    <mergeCell ref="K167:O168"/>
    <mergeCell ref="P167:T168"/>
    <mergeCell ref="U167:W168"/>
    <mergeCell ref="P162:Q162"/>
    <mergeCell ref="T162:U162"/>
    <mergeCell ref="X162:Y162"/>
    <mergeCell ref="P163:Q163"/>
    <mergeCell ref="T163:U163"/>
    <mergeCell ref="X163:Y163"/>
    <mergeCell ref="V177:Z177"/>
    <mergeCell ref="B178:E178"/>
    <mergeCell ref="F178:I178"/>
    <mergeCell ref="J178:L178"/>
    <mergeCell ref="M178:O178"/>
    <mergeCell ref="P178:R178"/>
    <mergeCell ref="S178:U178"/>
    <mergeCell ref="V178:Z178"/>
    <mergeCell ref="B177:E177"/>
    <mergeCell ref="F177:I177"/>
    <mergeCell ref="J177:L177"/>
    <mergeCell ref="M177:O177"/>
    <mergeCell ref="P177:R177"/>
    <mergeCell ref="S177:U177"/>
    <mergeCell ref="B170:G170"/>
    <mergeCell ref="H170:J170"/>
    <mergeCell ref="K170:O170"/>
    <mergeCell ref="P170:T170"/>
    <mergeCell ref="U170:W170"/>
    <mergeCell ref="X170:Z170"/>
    <mergeCell ref="H204:J204"/>
    <mergeCell ref="C206:F206"/>
    <mergeCell ref="H206:J206"/>
    <mergeCell ref="L206:M206"/>
    <mergeCell ref="O206:Q206"/>
    <mergeCell ref="B208:R208"/>
    <mergeCell ref="U198:V198"/>
    <mergeCell ref="X198:Z198"/>
    <mergeCell ref="F200:H200"/>
    <mergeCell ref="J200:K200"/>
    <mergeCell ref="M200:O200"/>
    <mergeCell ref="F202:H202"/>
    <mergeCell ref="N193:P193"/>
    <mergeCell ref="Q193:R193"/>
    <mergeCell ref="N195:P195"/>
    <mergeCell ref="Q195:R195"/>
    <mergeCell ref="Y196:AA196"/>
    <mergeCell ref="C198:D198"/>
    <mergeCell ref="F198:G198"/>
    <mergeCell ref="K198:M198"/>
    <mergeCell ref="O198:P198"/>
    <mergeCell ref="R198:S198"/>
    <mergeCell ref="S222:U222"/>
    <mergeCell ref="V222:Z222"/>
    <mergeCell ref="B223:E223"/>
    <mergeCell ref="F223:I223"/>
    <mergeCell ref="J223:L223"/>
    <mergeCell ref="M223:O223"/>
    <mergeCell ref="P223:R223"/>
    <mergeCell ref="S223:U223"/>
    <mergeCell ref="V223:Z223"/>
    <mergeCell ref="S208:Z208"/>
    <mergeCell ref="B209:R209"/>
    <mergeCell ref="S209:Z209"/>
    <mergeCell ref="B210:R210"/>
    <mergeCell ref="S210:Z210"/>
    <mergeCell ref="B222:E222"/>
    <mergeCell ref="F222:I222"/>
    <mergeCell ref="J222:L222"/>
    <mergeCell ref="M222:O222"/>
    <mergeCell ref="P222:R222"/>
    <mergeCell ref="H248:J248"/>
    <mergeCell ref="C250:F250"/>
    <mergeCell ref="H250:J250"/>
    <mergeCell ref="L250:M250"/>
    <mergeCell ref="O250:Q250"/>
    <mergeCell ref="B252:R252"/>
    <mergeCell ref="U242:V242"/>
    <mergeCell ref="X242:Z242"/>
    <mergeCell ref="F244:H244"/>
    <mergeCell ref="J244:K244"/>
    <mergeCell ref="M244:O244"/>
    <mergeCell ref="F246:H246"/>
    <mergeCell ref="N238:P238"/>
    <mergeCell ref="Q238:R238"/>
    <mergeCell ref="N240:P240"/>
    <mergeCell ref="Q240:R240"/>
    <mergeCell ref="C242:D242"/>
    <mergeCell ref="F242:G242"/>
    <mergeCell ref="K242:M242"/>
    <mergeCell ref="O242:P242"/>
    <mergeCell ref="R242:S242"/>
    <mergeCell ref="AU319:AV320"/>
    <mergeCell ref="B320:C320"/>
    <mergeCell ref="D320:G320"/>
    <mergeCell ref="H320:J320"/>
    <mergeCell ref="K320:M320"/>
    <mergeCell ref="N320:P320"/>
    <mergeCell ref="Q320:S320"/>
    <mergeCell ref="T320:V320"/>
    <mergeCell ref="W320:Y320"/>
    <mergeCell ref="AG319:AH320"/>
    <mergeCell ref="AK319:AK320"/>
    <mergeCell ref="AM319:AM320"/>
    <mergeCell ref="AO319:AO320"/>
    <mergeCell ref="AQ319:AQ320"/>
    <mergeCell ref="AS319:AT320"/>
    <mergeCell ref="S252:Z252"/>
    <mergeCell ref="B253:R253"/>
    <mergeCell ref="S253:Z253"/>
    <mergeCell ref="B254:R254"/>
    <mergeCell ref="T254:Z254"/>
    <mergeCell ref="AD319:AF320"/>
    <mergeCell ref="B323:D324"/>
    <mergeCell ref="E323:F324"/>
    <mergeCell ref="G323:I324"/>
    <mergeCell ref="J323:L324"/>
    <mergeCell ref="M323:N324"/>
    <mergeCell ref="O323:Q324"/>
    <mergeCell ref="AG323:AH323"/>
    <mergeCell ref="AU321:AV321"/>
    <mergeCell ref="AG322:AH322"/>
    <mergeCell ref="AL322:AM322"/>
    <mergeCell ref="AN322:AO322"/>
    <mergeCell ref="AS322:AT322"/>
    <mergeCell ref="AU322:AV322"/>
    <mergeCell ref="T321:V321"/>
    <mergeCell ref="W321:Y321"/>
    <mergeCell ref="AG321:AH321"/>
    <mergeCell ref="AL321:AM321"/>
    <mergeCell ref="AN321:AO321"/>
    <mergeCell ref="AS321:AT321"/>
    <mergeCell ref="B321:C321"/>
    <mergeCell ref="D321:G321"/>
    <mergeCell ref="H321:J321"/>
    <mergeCell ref="K321:M321"/>
    <mergeCell ref="N321:P321"/>
    <mergeCell ref="Q321:S321"/>
    <mergeCell ref="BH323:BL323"/>
    <mergeCell ref="AG324:AH324"/>
    <mergeCell ref="AL324:AM324"/>
    <mergeCell ref="AN324:AO324"/>
    <mergeCell ref="AS324:AT324"/>
    <mergeCell ref="AU324:AV324"/>
    <mergeCell ref="BC324:BG324"/>
    <mergeCell ref="BH324:BL324"/>
    <mergeCell ref="AL323:AM323"/>
    <mergeCell ref="AN323:AO323"/>
    <mergeCell ref="AS323:AT323"/>
    <mergeCell ref="AU323:AV323"/>
    <mergeCell ref="AX323:BB326"/>
    <mergeCell ref="BC323:BG323"/>
    <mergeCell ref="AX322:BB322"/>
    <mergeCell ref="BC322:BG322"/>
    <mergeCell ref="BH322:BL322"/>
    <mergeCell ref="BH325:BL325"/>
    <mergeCell ref="AG326:AH326"/>
    <mergeCell ref="AL326:AM326"/>
    <mergeCell ref="AN326:AO326"/>
    <mergeCell ref="AS326:AT326"/>
    <mergeCell ref="AU326:AV326"/>
    <mergeCell ref="BC326:BG326"/>
    <mergeCell ref="BH326:BL326"/>
    <mergeCell ref="AG325:AH325"/>
    <mergeCell ref="AL325:AM325"/>
    <mergeCell ref="AN325:AO325"/>
    <mergeCell ref="AS325:AT325"/>
    <mergeCell ref="AU325:AV325"/>
    <mergeCell ref="BC325:BG325"/>
    <mergeCell ref="B325:D326"/>
    <mergeCell ref="E325:F326"/>
    <mergeCell ref="G325:I326"/>
    <mergeCell ref="J325:L326"/>
    <mergeCell ref="M325:N326"/>
    <mergeCell ref="O325:Q326"/>
    <mergeCell ref="AU328:AV328"/>
    <mergeCell ref="AX328:BB328"/>
    <mergeCell ref="BC328:BG328"/>
    <mergeCell ref="BH328:BL328"/>
    <mergeCell ref="E329:F329"/>
    <mergeCell ref="G329:I329"/>
    <mergeCell ref="J329:L329"/>
    <mergeCell ref="M329:N329"/>
    <mergeCell ref="O329:Q329"/>
    <mergeCell ref="AG329:AH329"/>
    <mergeCell ref="BH327:BL327"/>
    <mergeCell ref="E328:F328"/>
    <mergeCell ref="G328:I328"/>
    <mergeCell ref="J328:L328"/>
    <mergeCell ref="M328:N328"/>
    <mergeCell ref="O328:Q328"/>
    <mergeCell ref="AG328:AH328"/>
    <mergeCell ref="AL328:AM328"/>
    <mergeCell ref="AN328:AO328"/>
    <mergeCell ref="AS328:AT328"/>
    <mergeCell ref="AL327:AM327"/>
    <mergeCell ref="AN327:AO327"/>
    <mergeCell ref="AS327:AT327"/>
    <mergeCell ref="AU327:AV327"/>
    <mergeCell ref="AX327:BB327"/>
    <mergeCell ref="BC327:BG327"/>
    <mergeCell ref="E327:F327"/>
    <mergeCell ref="G327:I327"/>
    <mergeCell ref="J327:L327"/>
    <mergeCell ref="M327:N327"/>
    <mergeCell ref="O327:Q327"/>
    <mergeCell ref="AG327:AH327"/>
    <mergeCell ref="AU330:AV330"/>
    <mergeCell ref="AX330:BB330"/>
    <mergeCell ref="BC330:BG330"/>
    <mergeCell ref="BH330:BL330"/>
    <mergeCell ref="E331:F331"/>
    <mergeCell ref="G331:I331"/>
    <mergeCell ref="J331:L331"/>
    <mergeCell ref="M331:N331"/>
    <mergeCell ref="O331:Q331"/>
    <mergeCell ref="AG331:AH331"/>
    <mergeCell ref="BH329:BL329"/>
    <mergeCell ref="E330:F330"/>
    <mergeCell ref="G330:I330"/>
    <mergeCell ref="J330:L330"/>
    <mergeCell ref="M330:N330"/>
    <mergeCell ref="O330:Q330"/>
    <mergeCell ref="AG330:AH330"/>
    <mergeCell ref="AL330:AM330"/>
    <mergeCell ref="AN330:AO330"/>
    <mergeCell ref="AS330:AT330"/>
    <mergeCell ref="AL329:AM329"/>
    <mergeCell ref="AN329:AO329"/>
    <mergeCell ref="AS329:AT329"/>
    <mergeCell ref="AU329:AV329"/>
    <mergeCell ref="AX329:BB329"/>
    <mergeCell ref="BC329:BG329"/>
    <mergeCell ref="BH331:BL331"/>
    <mergeCell ref="E332:F332"/>
    <mergeCell ref="G332:I332"/>
    <mergeCell ref="J332:L332"/>
    <mergeCell ref="M332:N332"/>
    <mergeCell ref="O332:Q332"/>
    <mergeCell ref="AG332:AH332"/>
    <mergeCell ref="AL332:AM332"/>
    <mergeCell ref="AN332:AO332"/>
    <mergeCell ref="AS332:AT332"/>
    <mergeCell ref="AL331:AM331"/>
    <mergeCell ref="AN331:AO331"/>
    <mergeCell ref="AS331:AT331"/>
    <mergeCell ref="AU331:AV331"/>
    <mergeCell ref="AX331:BB332"/>
    <mergeCell ref="BC331:BG331"/>
    <mergeCell ref="AU332:AV332"/>
    <mergeCell ref="BC332:BG332"/>
    <mergeCell ref="AU333:AV333"/>
    <mergeCell ref="AX333:BB333"/>
    <mergeCell ref="BC333:BG333"/>
    <mergeCell ref="BH333:BL333"/>
    <mergeCell ref="E334:F334"/>
    <mergeCell ref="G334:I334"/>
    <mergeCell ref="J334:L334"/>
    <mergeCell ref="M334:N334"/>
    <mergeCell ref="O334:Q334"/>
    <mergeCell ref="AG334:AH334"/>
    <mergeCell ref="BH332:BL332"/>
    <mergeCell ref="E333:F333"/>
    <mergeCell ref="G333:I333"/>
    <mergeCell ref="J333:L333"/>
    <mergeCell ref="M333:N333"/>
    <mergeCell ref="O333:Q333"/>
    <mergeCell ref="AG333:AH333"/>
    <mergeCell ref="AL333:AM333"/>
    <mergeCell ref="AN333:AO333"/>
    <mergeCell ref="AS333:AT333"/>
    <mergeCell ref="AU335:AV335"/>
    <mergeCell ref="AX335:BB335"/>
    <mergeCell ref="BC335:BG335"/>
    <mergeCell ref="BH335:BL335"/>
    <mergeCell ref="E336:F336"/>
    <mergeCell ref="G336:I336"/>
    <mergeCell ref="J336:L336"/>
    <mergeCell ref="M336:N336"/>
    <mergeCell ref="O336:Q336"/>
    <mergeCell ref="AG336:AH336"/>
    <mergeCell ref="BH334:BL334"/>
    <mergeCell ref="E335:F335"/>
    <mergeCell ref="G335:I335"/>
    <mergeCell ref="J335:L335"/>
    <mergeCell ref="M335:N335"/>
    <mergeCell ref="O335:Q335"/>
    <mergeCell ref="AG335:AH335"/>
    <mergeCell ref="AL335:AM335"/>
    <mergeCell ref="AN335:AO335"/>
    <mergeCell ref="AS335:AT335"/>
    <mergeCell ref="AL334:AM334"/>
    <mergeCell ref="AN334:AO334"/>
    <mergeCell ref="AS334:AT334"/>
    <mergeCell ref="AU334:AV334"/>
    <mergeCell ref="AX334:BB334"/>
    <mergeCell ref="BC334:BG334"/>
    <mergeCell ref="BH337:BL337"/>
    <mergeCell ref="E338:F338"/>
    <mergeCell ref="G338:I338"/>
    <mergeCell ref="J338:L338"/>
    <mergeCell ref="M338:N338"/>
    <mergeCell ref="O338:Q338"/>
    <mergeCell ref="AG338:AH338"/>
    <mergeCell ref="AL338:AM338"/>
    <mergeCell ref="AN338:AO338"/>
    <mergeCell ref="AS338:AT338"/>
    <mergeCell ref="BH336:BL336"/>
    <mergeCell ref="E337:F337"/>
    <mergeCell ref="G337:I337"/>
    <mergeCell ref="J337:L337"/>
    <mergeCell ref="M337:N337"/>
    <mergeCell ref="O337:Q337"/>
    <mergeCell ref="AG337:AH337"/>
    <mergeCell ref="AL337:AM337"/>
    <mergeCell ref="AN337:AO337"/>
    <mergeCell ref="AS337:AT337"/>
    <mergeCell ref="AL336:AM336"/>
    <mergeCell ref="AN336:AO336"/>
    <mergeCell ref="AS336:AT336"/>
    <mergeCell ref="AU336:AV336"/>
    <mergeCell ref="AX336:BB339"/>
    <mergeCell ref="BC336:BG336"/>
    <mergeCell ref="AU337:AV337"/>
    <mergeCell ref="BC337:BG337"/>
    <mergeCell ref="AU338:AV338"/>
    <mergeCell ref="BC338:BG338"/>
    <mergeCell ref="AN340:AO340"/>
    <mergeCell ref="AS340:AT340"/>
    <mergeCell ref="AU340:AV340"/>
    <mergeCell ref="AX340:BB340"/>
    <mergeCell ref="BC340:BG340"/>
    <mergeCell ref="BH340:BL340"/>
    <mergeCell ref="AU339:AV339"/>
    <mergeCell ref="BC339:BG339"/>
    <mergeCell ref="BH339:BL339"/>
    <mergeCell ref="E340:F340"/>
    <mergeCell ref="G340:I340"/>
    <mergeCell ref="J340:L340"/>
    <mergeCell ref="M340:N340"/>
    <mergeCell ref="O340:Q340"/>
    <mergeCell ref="AG340:AH340"/>
    <mergeCell ref="AL340:AM340"/>
    <mergeCell ref="BH338:BL338"/>
    <mergeCell ref="E339:F339"/>
    <mergeCell ref="G339:I339"/>
    <mergeCell ref="J339:L339"/>
    <mergeCell ref="M339:N339"/>
    <mergeCell ref="O339:Q339"/>
    <mergeCell ref="AG339:AH339"/>
    <mergeCell ref="AL339:AM339"/>
    <mergeCell ref="AN339:AO339"/>
    <mergeCell ref="AS339:AT339"/>
    <mergeCell ref="AU342:AV342"/>
    <mergeCell ref="AX342:BB342"/>
    <mergeCell ref="BC342:BG342"/>
    <mergeCell ref="BH342:BL342"/>
    <mergeCell ref="E343:F343"/>
    <mergeCell ref="G343:I343"/>
    <mergeCell ref="J343:L343"/>
    <mergeCell ref="M343:N343"/>
    <mergeCell ref="O343:Q343"/>
    <mergeCell ref="AG343:AH343"/>
    <mergeCell ref="BH341:BL341"/>
    <mergeCell ref="E342:F342"/>
    <mergeCell ref="G342:I342"/>
    <mergeCell ref="J342:L342"/>
    <mergeCell ref="M342:N342"/>
    <mergeCell ref="O342:Q342"/>
    <mergeCell ref="AG342:AH342"/>
    <mergeCell ref="AL342:AM342"/>
    <mergeCell ref="AN342:AO342"/>
    <mergeCell ref="AS342:AT342"/>
    <mergeCell ref="AL341:AM341"/>
    <mergeCell ref="AN341:AO341"/>
    <mergeCell ref="AS341:AT341"/>
    <mergeCell ref="AU341:AV341"/>
    <mergeCell ref="AX341:BB341"/>
    <mergeCell ref="BC341:BG341"/>
    <mergeCell ref="E341:F341"/>
    <mergeCell ref="G341:I341"/>
    <mergeCell ref="J341:L341"/>
    <mergeCell ref="M341:N341"/>
    <mergeCell ref="O341:Q341"/>
    <mergeCell ref="AG341:AH341"/>
    <mergeCell ref="AL345:AM345"/>
    <mergeCell ref="AN345:AO345"/>
    <mergeCell ref="AS345:AT345"/>
    <mergeCell ref="AU345:AV345"/>
    <mergeCell ref="BC345:BG345"/>
    <mergeCell ref="BH345:BL345"/>
    <mergeCell ref="AU344:AV344"/>
    <mergeCell ref="AX344:BB345"/>
    <mergeCell ref="BC344:BG344"/>
    <mergeCell ref="BH344:BL344"/>
    <mergeCell ref="E345:F345"/>
    <mergeCell ref="G345:I345"/>
    <mergeCell ref="J345:L345"/>
    <mergeCell ref="M345:N345"/>
    <mergeCell ref="O345:Q345"/>
    <mergeCell ref="AG345:AH345"/>
    <mergeCell ref="BH343:BL343"/>
    <mergeCell ref="E344:F344"/>
    <mergeCell ref="G344:I344"/>
    <mergeCell ref="J344:L344"/>
    <mergeCell ref="M344:N344"/>
    <mergeCell ref="O344:Q344"/>
    <mergeCell ref="AG344:AH344"/>
    <mergeCell ref="AL344:AM344"/>
    <mergeCell ref="AN344:AO344"/>
    <mergeCell ref="AS344:AT344"/>
    <mergeCell ref="AL343:AM343"/>
    <mergeCell ref="AN343:AO343"/>
    <mergeCell ref="AS343:AT343"/>
    <mergeCell ref="AU343:AV343"/>
    <mergeCell ref="AX343:BB343"/>
    <mergeCell ref="BC343:BG343"/>
    <mergeCell ref="AX347:BB347"/>
    <mergeCell ref="BC347:BG347"/>
    <mergeCell ref="BH347:BL347"/>
    <mergeCell ref="E348:F348"/>
    <mergeCell ref="G348:I348"/>
    <mergeCell ref="J348:L348"/>
    <mergeCell ref="M348:N348"/>
    <mergeCell ref="O348:Q348"/>
    <mergeCell ref="AL348:AM348"/>
    <mergeCell ref="BH346:BL346"/>
    <mergeCell ref="E347:F347"/>
    <mergeCell ref="G347:I347"/>
    <mergeCell ref="J347:L347"/>
    <mergeCell ref="M347:N347"/>
    <mergeCell ref="O347:Q347"/>
    <mergeCell ref="AG347:AH347"/>
    <mergeCell ref="AL347:AM347"/>
    <mergeCell ref="AN347:AO347"/>
    <mergeCell ref="AS347:AT347"/>
    <mergeCell ref="AL346:AM346"/>
    <mergeCell ref="AN346:AO346"/>
    <mergeCell ref="AS346:AT346"/>
    <mergeCell ref="AU346:AV346"/>
    <mergeCell ref="AX346:BB346"/>
    <mergeCell ref="BC346:BG346"/>
    <mergeCell ref="E346:F346"/>
    <mergeCell ref="G346:I346"/>
    <mergeCell ref="J346:L346"/>
    <mergeCell ref="M346:N346"/>
    <mergeCell ref="O346:Q346"/>
    <mergeCell ref="AG346:AH346"/>
    <mergeCell ref="E350:F350"/>
    <mergeCell ref="G350:I350"/>
    <mergeCell ref="J350:L350"/>
    <mergeCell ref="M350:N350"/>
    <mergeCell ref="O350:Q350"/>
    <mergeCell ref="E351:F351"/>
    <mergeCell ref="G351:I351"/>
    <mergeCell ref="J351:L351"/>
    <mergeCell ref="M351:N351"/>
    <mergeCell ref="O351:Q351"/>
    <mergeCell ref="AN348:AO348"/>
    <mergeCell ref="E349:F349"/>
    <mergeCell ref="G349:I349"/>
    <mergeCell ref="J349:L349"/>
    <mergeCell ref="M349:N349"/>
    <mergeCell ref="O349:Q349"/>
    <mergeCell ref="AU347:AV347"/>
    <mergeCell ref="C364:C365"/>
    <mergeCell ref="D364:D365"/>
    <mergeCell ref="E364:G365"/>
    <mergeCell ref="H364:H365"/>
    <mergeCell ref="I364:I365"/>
    <mergeCell ref="BH353:BL353"/>
    <mergeCell ref="AI354:AJ354"/>
    <mergeCell ref="BI354:BM354"/>
    <mergeCell ref="BI355:BM355"/>
    <mergeCell ref="BI356:BM356"/>
    <mergeCell ref="E357:G357"/>
    <mergeCell ref="BI357:BM357"/>
    <mergeCell ref="BH351:BL351"/>
    <mergeCell ref="E352:F352"/>
    <mergeCell ref="G352:I352"/>
    <mergeCell ref="J352:L352"/>
    <mergeCell ref="M352:N352"/>
    <mergeCell ref="O352:Q352"/>
    <mergeCell ref="BH352:BL352"/>
    <mergeCell ref="R364:S365"/>
    <mergeCell ref="T364:T365"/>
    <mergeCell ref="U364:W365"/>
    <mergeCell ref="X364:Y365"/>
    <mergeCell ref="D366:D367"/>
    <mergeCell ref="E366:E367"/>
    <mergeCell ref="F366:G367"/>
    <mergeCell ref="H366:H367"/>
    <mergeCell ref="I366:J367"/>
    <mergeCell ref="K366:K367"/>
    <mergeCell ref="J364:J365"/>
    <mergeCell ref="K364:L365"/>
    <mergeCell ref="M364:M365"/>
    <mergeCell ref="N364:O365"/>
    <mergeCell ref="P364:P365"/>
    <mergeCell ref="Q364:Q365"/>
    <mergeCell ref="BI358:BM358"/>
    <mergeCell ref="E361:F361"/>
    <mergeCell ref="H361:I361"/>
    <mergeCell ref="K361:L361"/>
    <mergeCell ref="U361:V361"/>
    <mergeCell ref="Q368:Q369"/>
    <mergeCell ref="T368:T369"/>
    <mergeCell ref="U368:W369"/>
    <mergeCell ref="X368:Y369"/>
    <mergeCell ref="L369:M369"/>
    <mergeCell ref="O369:P369"/>
    <mergeCell ref="E368:E369"/>
    <mergeCell ref="F368:G369"/>
    <mergeCell ref="H368:H369"/>
    <mergeCell ref="I368:J369"/>
    <mergeCell ref="K368:K369"/>
    <mergeCell ref="L368:P368"/>
    <mergeCell ref="L366:P366"/>
    <mergeCell ref="Q366:Q367"/>
    <mergeCell ref="U366:W366"/>
    <mergeCell ref="L367:M367"/>
    <mergeCell ref="O367:P367"/>
    <mergeCell ref="U367:W367"/>
    <mergeCell ref="B377:R377"/>
    <mergeCell ref="S377:Z377"/>
    <mergeCell ref="B378:R378"/>
    <mergeCell ref="S378:Z378"/>
    <mergeCell ref="B379:R379"/>
    <mergeCell ref="S379:Z379"/>
    <mergeCell ref="L370:M371"/>
    <mergeCell ref="N370:N371"/>
    <mergeCell ref="O370:Q370"/>
    <mergeCell ref="R370:R371"/>
    <mergeCell ref="T370:T371"/>
    <mergeCell ref="U370:W371"/>
    <mergeCell ref="O371:Q371"/>
    <mergeCell ref="D370:D371"/>
    <mergeCell ref="E370:E371"/>
    <mergeCell ref="F370:G371"/>
    <mergeCell ref="H370:H371"/>
    <mergeCell ref="I370:J371"/>
    <mergeCell ref="K370:K371"/>
    <mergeCell ref="C425:F425"/>
    <mergeCell ref="G425:I425"/>
    <mergeCell ref="J425:O425"/>
    <mergeCell ref="P425:R425"/>
    <mergeCell ref="S425:X425"/>
    <mergeCell ref="C426:F426"/>
    <mergeCell ref="G426:I426"/>
    <mergeCell ref="J426:O426"/>
    <mergeCell ref="P426:R426"/>
    <mergeCell ref="S426:X426"/>
    <mergeCell ref="C422:C423"/>
    <mergeCell ref="D422:D423"/>
    <mergeCell ref="E422:H422"/>
    <mergeCell ref="O422:O423"/>
    <mergeCell ref="P422:P423"/>
    <mergeCell ref="Q422:U422"/>
    <mergeCell ref="E423:H423"/>
    <mergeCell ref="E432:H432"/>
    <mergeCell ref="K432:P432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V428:Y429"/>
    <mergeCell ref="C431:C432"/>
    <mergeCell ref="D431:D432"/>
    <mergeCell ref="E431:H431"/>
    <mergeCell ref="I431:I432"/>
    <mergeCell ref="K431:M431"/>
    <mergeCell ref="O431:P431"/>
    <mergeCell ref="R431:R432"/>
    <mergeCell ref="T431:U432"/>
    <mergeCell ref="V431:W432"/>
    <mergeCell ref="C428:C429"/>
    <mergeCell ref="D428:D429"/>
    <mergeCell ref="E428:I428"/>
    <mergeCell ref="J428:J429"/>
    <mergeCell ref="L428:N428"/>
    <mergeCell ref="U428:U429"/>
    <mergeCell ref="Q439:S439"/>
    <mergeCell ref="T439:V439"/>
    <mergeCell ref="W439:Y439"/>
    <mergeCell ref="B440:C440"/>
    <mergeCell ref="D440:G440"/>
    <mergeCell ref="H440:J440"/>
    <mergeCell ref="K440:M440"/>
    <mergeCell ref="N440:P440"/>
    <mergeCell ref="Q440:S440"/>
    <mergeCell ref="T440:V440"/>
    <mergeCell ref="K436:K437"/>
    <mergeCell ref="M436:M437"/>
    <mergeCell ref="N436:N437"/>
    <mergeCell ref="O436:O437"/>
    <mergeCell ref="B439:C439"/>
    <mergeCell ref="D439:G439"/>
    <mergeCell ref="H439:J439"/>
    <mergeCell ref="K439:M439"/>
    <mergeCell ref="N439:P439"/>
    <mergeCell ref="AS442:AT443"/>
    <mergeCell ref="AU442:AV443"/>
    <mergeCell ref="B444:D445"/>
    <mergeCell ref="E444:F445"/>
    <mergeCell ref="G444:I445"/>
    <mergeCell ref="J444:L445"/>
    <mergeCell ref="M444:N445"/>
    <mergeCell ref="O444:Q445"/>
    <mergeCell ref="AG444:AH444"/>
    <mergeCell ref="AL444:AM444"/>
    <mergeCell ref="AD442:AF443"/>
    <mergeCell ref="AG442:AH443"/>
    <mergeCell ref="AK442:AK443"/>
    <mergeCell ref="AM442:AM443"/>
    <mergeCell ref="AO442:AO443"/>
    <mergeCell ref="AQ442:AQ443"/>
    <mergeCell ref="W440:Y440"/>
    <mergeCell ref="B442:D443"/>
    <mergeCell ref="E442:F443"/>
    <mergeCell ref="G442:I443"/>
    <mergeCell ref="J442:L443"/>
    <mergeCell ref="M442:N443"/>
    <mergeCell ref="O442:Q443"/>
    <mergeCell ref="AX445:BB445"/>
    <mergeCell ref="BC445:BG445"/>
    <mergeCell ref="BH445:BL445"/>
    <mergeCell ref="E446:F446"/>
    <mergeCell ref="G446:I446"/>
    <mergeCell ref="J446:L446"/>
    <mergeCell ref="M446:N446"/>
    <mergeCell ref="O446:Q446"/>
    <mergeCell ref="AG446:AH446"/>
    <mergeCell ref="AL446:AM446"/>
    <mergeCell ref="AN444:AO444"/>
    <mergeCell ref="AS444:AT444"/>
    <mergeCell ref="AU444:AV444"/>
    <mergeCell ref="AG445:AH445"/>
    <mergeCell ref="AL445:AM445"/>
    <mergeCell ref="AN445:AO445"/>
    <mergeCell ref="AS445:AT445"/>
    <mergeCell ref="AU445:AV445"/>
    <mergeCell ref="AL447:AM447"/>
    <mergeCell ref="AN447:AO447"/>
    <mergeCell ref="AS447:AT447"/>
    <mergeCell ref="AU447:AV447"/>
    <mergeCell ref="BC447:BG447"/>
    <mergeCell ref="BH447:BL447"/>
    <mergeCell ref="E447:F447"/>
    <mergeCell ref="G447:I447"/>
    <mergeCell ref="J447:L447"/>
    <mergeCell ref="M447:N447"/>
    <mergeCell ref="O447:Q447"/>
    <mergeCell ref="AG447:AH447"/>
    <mergeCell ref="AN446:AO446"/>
    <mergeCell ref="AS446:AT446"/>
    <mergeCell ref="AU446:AV446"/>
    <mergeCell ref="AX446:BB449"/>
    <mergeCell ref="BC446:BG446"/>
    <mergeCell ref="BH446:BL446"/>
    <mergeCell ref="AL449:AM449"/>
    <mergeCell ref="AN449:AO449"/>
    <mergeCell ref="AS449:AT449"/>
    <mergeCell ref="AU449:AV449"/>
    <mergeCell ref="BC449:BG449"/>
    <mergeCell ref="BH449:BL449"/>
    <mergeCell ref="E449:F449"/>
    <mergeCell ref="G449:I449"/>
    <mergeCell ref="J449:L449"/>
    <mergeCell ref="M449:N449"/>
    <mergeCell ref="O449:Q449"/>
    <mergeCell ref="AG449:AH449"/>
    <mergeCell ref="AL448:AM448"/>
    <mergeCell ref="AN448:AO448"/>
    <mergeCell ref="AS448:AT448"/>
    <mergeCell ref="AU448:AV448"/>
    <mergeCell ref="BC448:BG448"/>
    <mergeCell ref="BH448:BL448"/>
    <mergeCell ref="E448:F448"/>
    <mergeCell ref="G448:I448"/>
    <mergeCell ref="J448:L448"/>
    <mergeCell ref="M448:N448"/>
    <mergeCell ref="O448:Q448"/>
    <mergeCell ref="AG448:AH448"/>
    <mergeCell ref="AU451:AV451"/>
    <mergeCell ref="AX451:BB451"/>
    <mergeCell ref="BC451:BG451"/>
    <mergeCell ref="BH451:BL451"/>
    <mergeCell ref="E452:F452"/>
    <mergeCell ref="G452:I452"/>
    <mergeCell ref="J452:L452"/>
    <mergeCell ref="M452:N452"/>
    <mergeCell ref="O452:Q452"/>
    <mergeCell ref="AG452:AH452"/>
    <mergeCell ref="BH450:BL450"/>
    <mergeCell ref="E451:F451"/>
    <mergeCell ref="G451:I451"/>
    <mergeCell ref="J451:L451"/>
    <mergeCell ref="M451:N451"/>
    <mergeCell ref="O451:Q451"/>
    <mergeCell ref="AG451:AH451"/>
    <mergeCell ref="AL451:AM451"/>
    <mergeCell ref="AN451:AO451"/>
    <mergeCell ref="AS451:AT451"/>
    <mergeCell ref="AL450:AM450"/>
    <mergeCell ref="AN450:AO450"/>
    <mergeCell ref="AS450:AT450"/>
    <mergeCell ref="AU450:AV450"/>
    <mergeCell ref="AX450:BB450"/>
    <mergeCell ref="BC450:BG450"/>
    <mergeCell ref="E450:F450"/>
    <mergeCell ref="G450:I450"/>
    <mergeCell ref="J450:L450"/>
    <mergeCell ref="M450:N450"/>
    <mergeCell ref="O450:Q450"/>
    <mergeCell ref="AG450:AH450"/>
    <mergeCell ref="AU453:AV453"/>
    <mergeCell ref="AX453:BB453"/>
    <mergeCell ref="BC453:BG453"/>
    <mergeCell ref="BH453:BL453"/>
    <mergeCell ref="E454:F454"/>
    <mergeCell ref="G454:I454"/>
    <mergeCell ref="J454:L454"/>
    <mergeCell ref="M454:N454"/>
    <mergeCell ref="O454:Q454"/>
    <mergeCell ref="AG454:AH454"/>
    <mergeCell ref="BH452:BL452"/>
    <mergeCell ref="E453:F453"/>
    <mergeCell ref="G453:I453"/>
    <mergeCell ref="J453:L453"/>
    <mergeCell ref="M453:N453"/>
    <mergeCell ref="O453:Q453"/>
    <mergeCell ref="AG453:AH453"/>
    <mergeCell ref="AL453:AM453"/>
    <mergeCell ref="AN453:AO453"/>
    <mergeCell ref="AS453:AT453"/>
    <mergeCell ref="AL452:AM452"/>
    <mergeCell ref="AN452:AO452"/>
    <mergeCell ref="AS452:AT452"/>
    <mergeCell ref="AU452:AV452"/>
    <mergeCell ref="AX452:BB452"/>
    <mergeCell ref="BC452:BG452"/>
    <mergeCell ref="BH454:BL454"/>
    <mergeCell ref="E455:F455"/>
    <mergeCell ref="G455:I455"/>
    <mergeCell ref="J455:L455"/>
    <mergeCell ref="M455:N455"/>
    <mergeCell ref="O455:Q455"/>
    <mergeCell ref="AG455:AH455"/>
    <mergeCell ref="AL455:AM455"/>
    <mergeCell ref="AN455:AO455"/>
    <mergeCell ref="AS455:AT455"/>
    <mergeCell ref="AL454:AM454"/>
    <mergeCell ref="AN454:AO454"/>
    <mergeCell ref="AS454:AT454"/>
    <mergeCell ref="AU454:AV454"/>
    <mergeCell ref="AX454:BB455"/>
    <mergeCell ref="BC454:BG454"/>
    <mergeCell ref="AU455:AV455"/>
    <mergeCell ref="BC455:BG455"/>
    <mergeCell ref="AU456:AV456"/>
    <mergeCell ref="AX456:BB456"/>
    <mergeCell ref="BC456:BG456"/>
    <mergeCell ref="BH456:BL456"/>
    <mergeCell ref="E457:F457"/>
    <mergeCell ref="G457:I457"/>
    <mergeCell ref="J457:L457"/>
    <mergeCell ref="M457:N457"/>
    <mergeCell ref="O457:Q457"/>
    <mergeCell ref="AG457:AH457"/>
    <mergeCell ref="BH455:BL455"/>
    <mergeCell ref="E456:F456"/>
    <mergeCell ref="G456:I456"/>
    <mergeCell ref="J456:L456"/>
    <mergeCell ref="M456:N456"/>
    <mergeCell ref="O456:Q456"/>
    <mergeCell ref="AG456:AH456"/>
    <mergeCell ref="AL456:AM456"/>
    <mergeCell ref="AN456:AO456"/>
    <mergeCell ref="AS456:AT456"/>
    <mergeCell ref="AU458:AV458"/>
    <mergeCell ref="E459:F459"/>
    <mergeCell ref="G459:I459"/>
    <mergeCell ref="J459:L459"/>
    <mergeCell ref="M459:N459"/>
    <mergeCell ref="O459:Q459"/>
    <mergeCell ref="AG459:AH459"/>
    <mergeCell ref="AL459:AM459"/>
    <mergeCell ref="AN459:AO459"/>
    <mergeCell ref="AS459:AT459"/>
    <mergeCell ref="BH457:BL457"/>
    <mergeCell ref="E458:F458"/>
    <mergeCell ref="G458:I458"/>
    <mergeCell ref="J458:L458"/>
    <mergeCell ref="M458:N458"/>
    <mergeCell ref="O458:Q458"/>
    <mergeCell ref="AG458:AH458"/>
    <mergeCell ref="AL458:AM458"/>
    <mergeCell ref="AN458:AO458"/>
    <mergeCell ref="AS458:AT458"/>
    <mergeCell ref="AL457:AM457"/>
    <mergeCell ref="AN457:AO457"/>
    <mergeCell ref="AS457:AT457"/>
    <mergeCell ref="AU457:AV457"/>
    <mergeCell ref="AX457:BB457"/>
    <mergeCell ref="BC457:BG457"/>
    <mergeCell ref="AU460:AV460"/>
    <mergeCell ref="E461:F461"/>
    <mergeCell ref="G461:I461"/>
    <mergeCell ref="J461:L461"/>
    <mergeCell ref="M461:N461"/>
    <mergeCell ref="O461:Q461"/>
    <mergeCell ref="AG461:AH461"/>
    <mergeCell ref="AL461:AM461"/>
    <mergeCell ref="AN461:AO461"/>
    <mergeCell ref="AS461:AT461"/>
    <mergeCell ref="AU459:AV459"/>
    <mergeCell ref="E460:F460"/>
    <mergeCell ref="G460:I460"/>
    <mergeCell ref="J460:L460"/>
    <mergeCell ref="M460:N460"/>
    <mergeCell ref="O460:Q460"/>
    <mergeCell ref="AG460:AH460"/>
    <mergeCell ref="AL460:AM460"/>
    <mergeCell ref="AN460:AO460"/>
    <mergeCell ref="AS460:AT460"/>
    <mergeCell ref="AU462:AV462"/>
    <mergeCell ref="E463:F463"/>
    <mergeCell ref="G463:I463"/>
    <mergeCell ref="J463:L463"/>
    <mergeCell ref="M463:N463"/>
    <mergeCell ref="O463:Q463"/>
    <mergeCell ref="AG463:AH463"/>
    <mergeCell ref="AL463:AM463"/>
    <mergeCell ref="AN463:AO463"/>
    <mergeCell ref="AS463:AT463"/>
    <mergeCell ref="AU461:AV461"/>
    <mergeCell ref="E462:F462"/>
    <mergeCell ref="G462:I462"/>
    <mergeCell ref="J462:L462"/>
    <mergeCell ref="M462:N462"/>
    <mergeCell ref="O462:Q462"/>
    <mergeCell ref="AG462:AH462"/>
    <mergeCell ref="AL462:AM462"/>
    <mergeCell ref="AN462:AO462"/>
    <mergeCell ref="AS462:AT462"/>
    <mergeCell ref="AU464:AV464"/>
    <mergeCell ref="E469:F469"/>
    <mergeCell ref="G469:I469"/>
    <mergeCell ref="J469:L469"/>
    <mergeCell ref="M469:N469"/>
    <mergeCell ref="O469:Q469"/>
    <mergeCell ref="AG465:AH465"/>
    <mergeCell ref="AL465:AM465"/>
    <mergeCell ref="AN465:AO465"/>
    <mergeCell ref="AS465:AT465"/>
    <mergeCell ref="AU463:AV463"/>
    <mergeCell ref="E464:F464"/>
    <mergeCell ref="G464:I464"/>
    <mergeCell ref="J464:L464"/>
    <mergeCell ref="M464:N464"/>
    <mergeCell ref="O464:Q464"/>
    <mergeCell ref="AG464:AH464"/>
    <mergeCell ref="AL464:AM464"/>
    <mergeCell ref="AN464:AO464"/>
    <mergeCell ref="AS464:AT464"/>
    <mergeCell ref="E465:F465"/>
    <mergeCell ref="E466:F466"/>
    <mergeCell ref="G465:I465"/>
    <mergeCell ref="G466:I466"/>
    <mergeCell ref="J465:L465"/>
    <mergeCell ref="J466:L466"/>
    <mergeCell ref="AS468:AT468"/>
    <mergeCell ref="AU468:AV468"/>
    <mergeCell ref="AG467:AH467"/>
    <mergeCell ref="AL467:AM467"/>
    <mergeCell ref="AN467:AO467"/>
    <mergeCell ref="M465:N465"/>
    <mergeCell ref="D471:D472"/>
    <mergeCell ref="E471:G472"/>
    <mergeCell ref="H471:H472"/>
    <mergeCell ref="I471:I472"/>
    <mergeCell ref="J471:J472"/>
    <mergeCell ref="E467:F467"/>
    <mergeCell ref="E468:F468"/>
    <mergeCell ref="G467:I467"/>
    <mergeCell ref="G468:I468"/>
    <mergeCell ref="J467:L467"/>
    <mergeCell ref="J468:L468"/>
    <mergeCell ref="AU465:AV465"/>
    <mergeCell ref="AG466:AH466"/>
    <mergeCell ref="AL466:AM466"/>
    <mergeCell ref="AN466:AO466"/>
    <mergeCell ref="AS466:AT466"/>
    <mergeCell ref="AU466:AV466"/>
    <mergeCell ref="AG469:AH469"/>
    <mergeCell ref="AL469:AM469"/>
    <mergeCell ref="AN469:AO469"/>
    <mergeCell ref="AS469:AT469"/>
    <mergeCell ref="AU469:AV469"/>
    <mergeCell ref="AG470:AH470"/>
    <mergeCell ref="AL470:AM470"/>
    <mergeCell ref="AN470:AO470"/>
    <mergeCell ref="AS470:AT470"/>
    <mergeCell ref="AU470:AV470"/>
    <mergeCell ref="AS467:AT467"/>
    <mergeCell ref="AU467:AV467"/>
    <mergeCell ref="AG468:AH468"/>
    <mergeCell ref="AL468:AM468"/>
    <mergeCell ref="AN468:AO468"/>
    <mergeCell ref="AU472:AV472"/>
    <mergeCell ref="AG473:AH473"/>
    <mergeCell ref="AL473:AM473"/>
    <mergeCell ref="AN473:AO473"/>
    <mergeCell ref="AS473:AT473"/>
    <mergeCell ref="AU473:AV473"/>
    <mergeCell ref="AG471:AH471"/>
    <mergeCell ref="AL471:AM471"/>
    <mergeCell ref="AN471:AO471"/>
    <mergeCell ref="AS471:AT471"/>
    <mergeCell ref="AU471:AV471"/>
    <mergeCell ref="E476:I476"/>
    <mergeCell ref="AG472:AH472"/>
    <mergeCell ref="AL472:AM472"/>
    <mergeCell ref="AN472:AO472"/>
    <mergeCell ref="AS472:AT472"/>
    <mergeCell ref="C475:C476"/>
    <mergeCell ref="D475:D476"/>
    <mergeCell ref="E475:I475"/>
    <mergeCell ref="V475:V476"/>
    <mergeCell ref="W475:X476"/>
    <mergeCell ref="Y475:Z476"/>
    <mergeCell ref="U471:U472"/>
    <mergeCell ref="V471:Y472"/>
    <mergeCell ref="Z471:AA472"/>
    <mergeCell ref="K471:L472"/>
    <mergeCell ref="M471:M472"/>
    <mergeCell ref="N471:P472"/>
    <mergeCell ref="Q471:Q472"/>
    <mergeCell ref="R471:R472"/>
    <mergeCell ref="S471:T472"/>
    <mergeCell ref="C471:C472"/>
    <mergeCell ref="AG476:AH476"/>
    <mergeCell ref="AL476:AM476"/>
    <mergeCell ref="AN476:AO476"/>
    <mergeCell ref="AS476:AT476"/>
    <mergeCell ref="AU476:AV476"/>
    <mergeCell ref="AG477:AH477"/>
    <mergeCell ref="AL477:AM477"/>
    <mergeCell ref="AN477:AO477"/>
    <mergeCell ref="AS477:AT477"/>
    <mergeCell ref="AU477:AV477"/>
    <mergeCell ref="AL474:AM474"/>
    <mergeCell ref="AN474:AO474"/>
    <mergeCell ref="AS474:AT474"/>
    <mergeCell ref="AU474:AV474"/>
    <mergeCell ref="AG475:AH475"/>
    <mergeCell ref="AL475:AM475"/>
    <mergeCell ref="AN475:AO475"/>
    <mergeCell ref="AS475:AT475"/>
    <mergeCell ref="AU475:AV475"/>
    <mergeCell ref="AG474:AH474"/>
    <mergeCell ref="AS478:AT478"/>
    <mergeCell ref="AU478:AV478"/>
    <mergeCell ref="L483:M483"/>
    <mergeCell ref="O483:P483"/>
    <mergeCell ref="U483:W483"/>
    <mergeCell ref="AL479:AM479"/>
    <mergeCell ref="AN479:AO479"/>
    <mergeCell ref="L482:P482"/>
    <mergeCell ref="Q482:Q483"/>
    <mergeCell ref="U482:W482"/>
    <mergeCell ref="AG478:AH478"/>
    <mergeCell ref="AL478:AM478"/>
    <mergeCell ref="AN478:AO478"/>
    <mergeCell ref="D482:D483"/>
    <mergeCell ref="E482:E483"/>
    <mergeCell ref="F482:G483"/>
    <mergeCell ref="H482:H483"/>
    <mergeCell ref="I482:J483"/>
    <mergeCell ref="K482:K483"/>
    <mergeCell ref="D478:D479"/>
    <mergeCell ref="F478:H478"/>
    <mergeCell ref="Q478:Q479"/>
    <mergeCell ref="R478:S479"/>
    <mergeCell ref="T478:U479"/>
    <mergeCell ref="AY485:AZ485"/>
    <mergeCell ref="L492:M492"/>
    <mergeCell ref="O492:P492"/>
    <mergeCell ref="R492:T492"/>
    <mergeCell ref="E493:F493"/>
    <mergeCell ref="I493:J493"/>
    <mergeCell ref="M493:O493"/>
    <mergeCell ref="L486:M487"/>
    <mergeCell ref="N486:N487"/>
    <mergeCell ref="O486:Q486"/>
    <mergeCell ref="R486:R487"/>
    <mergeCell ref="T486:T487"/>
    <mergeCell ref="U486:W487"/>
    <mergeCell ref="O487:Q487"/>
    <mergeCell ref="D486:D487"/>
    <mergeCell ref="E486:E487"/>
    <mergeCell ref="F486:G487"/>
    <mergeCell ref="H486:H487"/>
    <mergeCell ref="I486:J487"/>
    <mergeCell ref="K486:K487"/>
    <mergeCell ref="Q484:Q485"/>
    <mergeCell ref="T484:T485"/>
    <mergeCell ref="U484:W485"/>
    <mergeCell ref="X484:Y485"/>
    <mergeCell ref="L485:M485"/>
    <mergeCell ref="O485:P485"/>
    <mergeCell ref="E484:E485"/>
    <mergeCell ref="F484:G485"/>
    <mergeCell ref="H484:H485"/>
    <mergeCell ref="I484:J485"/>
    <mergeCell ref="K484:K485"/>
    <mergeCell ref="L484:P484"/>
    <mergeCell ref="B524:F525"/>
    <mergeCell ref="G524:N524"/>
    <mergeCell ref="O524:R524"/>
    <mergeCell ref="S524:W524"/>
    <mergeCell ref="X524:Z524"/>
    <mergeCell ref="G525:J525"/>
    <mergeCell ref="K525:N525"/>
    <mergeCell ref="O525:R525"/>
    <mergeCell ref="S525:W525"/>
    <mergeCell ref="X525:Z525"/>
    <mergeCell ref="B498:R498"/>
    <mergeCell ref="S498:Z498"/>
    <mergeCell ref="B499:R499"/>
    <mergeCell ref="S499:Z499"/>
    <mergeCell ref="B500:R500"/>
    <mergeCell ref="S500:Z500"/>
    <mergeCell ref="AI484:AJ484"/>
    <mergeCell ref="B530:C531"/>
    <mergeCell ref="D530:G531"/>
    <mergeCell ref="H530:I531"/>
    <mergeCell ref="J530:M531"/>
    <mergeCell ref="N530:R531"/>
    <mergeCell ref="S530:V531"/>
    <mergeCell ref="W530:Z531"/>
    <mergeCell ref="B529:C529"/>
    <mergeCell ref="D529:G529"/>
    <mergeCell ref="H529:I529"/>
    <mergeCell ref="J529:M529"/>
    <mergeCell ref="N529:R529"/>
    <mergeCell ref="S529:V529"/>
    <mergeCell ref="B526:F526"/>
    <mergeCell ref="G526:J526"/>
    <mergeCell ref="K526:N526"/>
    <mergeCell ref="O526:R526"/>
    <mergeCell ref="S526:W526"/>
    <mergeCell ref="X526:Z526"/>
    <mergeCell ref="M466:N466"/>
    <mergeCell ref="M467:N467"/>
    <mergeCell ref="M468:N468"/>
    <mergeCell ref="O465:Q465"/>
    <mergeCell ref="O466:Q466"/>
    <mergeCell ref="O467:Q467"/>
    <mergeCell ref="O468:Q468"/>
    <mergeCell ref="B543:E543"/>
    <mergeCell ref="F543:M543"/>
    <mergeCell ref="N543:V543"/>
    <mergeCell ref="W543:Z543"/>
    <mergeCell ref="B544:E544"/>
    <mergeCell ref="F544:M544"/>
    <mergeCell ref="N544:V544"/>
    <mergeCell ref="W544:Z544"/>
    <mergeCell ref="B537:E537"/>
    <mergeCell ref="F537:M537"/>
    <mergeCell ref="N537:V537"/>
    <mergeCell ref="W537:Z537"/>
    <mergeCell ref="B542:E542"/>
    <mergeCell ref="F542:M542"/>
    <mergeCell ref="N542:V542"/>
    <mergeCell ref="W542:Z542"/>
    <mergeCell ref="B535:E535"/>
    <mergeCell ref="F535:M535"/>
    <mergeCell ref="N535:V535"/>
    <mergeCell ref="W535:Z535"/>
    <mergeCell ref="B536:E536"/>
    <mergeCell ref="F536:M536"/>
    <mergeCell ref="N536:V536"/>
    <mergeCell ref="W536:Z536"/>
    <mergeCell ref="W529:Z529"/>
  </mergeCells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E9A6-83D1-4CF0-B879-FDAE4D92DBB6}">
  <dimension ref="A1:CJ545"/>
  <sheetViews>
    <sheetView topLeftCell="A513" zoomScale="130" zoomScaleNormal="130" workbookViewId="0">
      <selection activeCell="Q321" sqref="Q321:S321"/>
    </sheetView>
  </sheetViews>
  <sheetFormatPr defaultColWidth="2.875" defaultRowHeight="15" customHeight="1"/>
  <cols>
    <col min="1" max="1" width="2.875" style="3"/>
    <col min="2" max="2" width="4.5" style="3" bestFit="1" customWidth="1"/>
    <col min="3" max="3" width="3.875" style="3" customWidth="1"/>
    <col min="4" max="4" width="4" style="3" customWidth="1"/>
    <col min="5" max="5" width="2.625" style="3" customWidth="1"/>
    <col min="6" max="7" width="2.25" style="3" customWidth="1"/>
    <col min="8" max="8" width="3.75" style="3" customWidth="1"/>
    <col min="9" max="9" width="7.75" style="3" bestFit="1" customWidth="1"/>
    <col min="10" max="10" width="2.875" style="3"/>
    <col min="11" max="11" width="3.875" style="3" bestFit="1" customWidth="1"/>
    <col min="12" max="13" width="4.625" style="3" bestFit="1" customWidth="1"/>
    <col min="14" max="14" width="5.75" style="3" bestFit="1" customWidth="1"/>
    <col min="15" max="15" width="4" style="3" customWidth="1"/>
    <col min="16" max="17" width="4.75" style="3" customWidth="1"/>
    <col min="18" max="20" width="4.5" style="3" customWidth="1"/>
    <col min="21" max="21" width="4.25" style="3" bestFit="1" customWidth="1"/>
    <col min="22" max="22" width="2.875" style="3"/>
    <col min="23" max="23" width="2" style="3" customWidth="1"/>
    <col min="24" max="24" width="2.75" style="3" customWidth="1"/>
    <col min="25" max="25" width="2.875" style="3"/>
    <col min="26" max="26" width="1.875" style="3" customWidth="1"/>
    <col min="27" max="27" width="2.875" style="3"/>
    <col min="28" max="28" width="3.5" style="3" customWidth="1"/>
    <col min="29" max="29" width="3.75" style="3" customWidth="1"/>
    <col min="30" max="30" width="3.5" style="3" customWidth="1"/>
    <col min="31" max="31" width="4" style="3" bestFit="1" customWidth="1"/>
    <col min="32" max="32" width="6.25" style="3" customWidth="1"/>
    <col min="33" max="33" width="3.75" style="3" bestFit="1" customWidth="1"/>
    <col min="34" max="34" width="4.25" style="3" bestFit="1" customWidth="1"/>
    <col min="35" max="35" width="7.125" style="3" customWidth="1"/>
    <col min="36" max="36" width="6.125" style="3" customWidth="1"/>
    <col min="37" max="37" width="7.25" style="3" customWidth="1"/>
    <col min="38" max="41" width="4.125" style="3" customWidth="1"/>
    <col min="42" max="42" width="3.875" style="3" customWidth="1"/>
    <col min="43" max="43" width="4.625" style="3" customWidth="1"/>
    <col min="44" max="44" width="2.875" style="3"/>
    <col min="45" max="49" width="3.625" style="3" customWidth="1"/>
    <col min="50" max="50" width="3.75" style="5" customWidth="1"/>
    <col min="51" max="51" width="2.875" style="5"/>
    <col min="52" max="53" width="3.875" style="3" customWidth="1"/>
    <col min="54" max="54" width="3.375" style="3" customWidth="1"/>
    <col min="55" max="55" width="10.625" style="3" customWidth="1"/>
    <col min="56" max="57" width="8.25" style="3" customWidth="1"/>
    <col min="58" max="61" width="3.875" style="3" customWidth="1"/>
    <col min="62" max="62" width="5.125" style="3" customWidth="1"/>
    <col min="63" max="63" width="3.125" style="3" customWidth="1"/>
    <col min="64" max="65" width="2.875" style="3"/>
    <col min="66" max="66" width="4.375" style="3" customWidth="1"/>
    <col min="67" max="254" width="2.875" style="3"/>
    <col min="255" max="255" width="3.75" style="3" customWidth="1"/>
    <col min="256" max="267" width="2.875" style="3"/>
    <col min="268" max="268" width="8.75" style="3" bestFit="1" customWidth="1"/>
    <col min="269" max="276" width="2.875" style="3"/>
    <col min="277" max="277" width="8.25" style="3" bestFit="1" customWidth="1"/>
    <col min="278" max="278" width="8.75" style="3" bestFit="1" customWidth="1"/>
    <col min="279" max="279" width="7.5" style="3" bestFit="1" customWidth="1"/>
    <col min="280" max="510" width="2.875" style="3"/>
    <col min="511" max="511" width="3.75" style="3" customWidth="1"/>
    <col min="512" max="523" width="2.875" style="3"/>
    <col min="524" max="524" width="8.75" style="3" bestFit="1" customWidth="1"/>
    <col min="525" max="532" width="2.875" style="3"/>
    <col min="533" max="533" width="8.25" style="3" bestFit="1" customWidth="1"/>
    <col min="534" max="534" width="8.75" style="3" bestFit="1" customWidth="1"/>
    <col min="535" max="535" width="7.5" style="3" bestFit="1" customWidth="1"/>
    <col min="536" max="766" width="2.875" style="3"/>
    <col min="767" max="767" width="3.75" style="3" customWidth="1"/>
    <col min="768" max="779" width="2.875" style="3"/>
    <col min="780" max="780" width="8.75" style="3" bestFit="1" customWidth="1"/>
    <col min="781" max="788" width="2.875" style="3"/>
    <col min="789" max="789" width="8.25" style="3" bestFit="1" customWidth="1"/>
    <col min="790" max="790" width="8.75" style="3" bestFit="1" customWidth="1"/>
    <col min="791" max="791" width="7.5" style="3" bestFit="1" customWidth="1"/>
    <col min="792" max="1022" width="2.875" style="3"/>
    <col min="1023" max="1023" width="3.75" style="3" customWidth="1"/>
    <col min="1024" max="1035" width="2.875" style="3"/>
    <col min="1036" max="1036" width="8.75" style="3" bestFit="1" customWidth="1"/>
    <col min="1037" max="1044" width="2.875" style="3"/>
    <col min="1045" max="1045" width="8.25" style="3" bestFit="1" customWidth="1"/>
    <col min="1046" max="1046" width="8.75" style="3" bestFit="1" customWidth="1"/>
    <col min="1047" max="1047" width="7.5" style="3" bestFit="1" customWidth="1"/>
    <col min="1048" max="1278" width="2.875" style="3"/>
    <col min="1279" max="1279" width="3.75" style="3" customWidth="1"/>
    <col min="1280" max="1291" width="2.875" style="3"/>
    <col min="1292" max="1292" width="8.75" style="3" bestFit="1" customWidth="1"/>
    <col min="1293" max="1300" width="2.875" style="3"/>
    <col min="1301" max="1301" width="8.25" style="3" bestFit="1" customWidth="1"/>
    <col min="1302" max="1302" width="8.75" style="3" bestFit="1" customWidth="1"/>
    <col min="1303" max="1303" width="7.5" style="3" bestFit="1" customWidth="1"/>
    <col min="1304" max="1534" width="2.875" style="3"/>
    <col min="1535" max="1535" width="3.75" style="3" customWidth="1"/>
    <col min="1536" max="1547" width="2.875" style="3"/>
    <col min="1548" max="1548" width="8.75" style="3" bestFit="1" customWidth="1"/>
    <col min="1549" max="1556" width="2.875" style="3"/>
    <col min="1557" max="1557" width="8.25" style="3" bestFit="1" customWidth="1"/>
    <col min="1558" max="1558" width="8.75" style="3" bestFit="1" customWidth="1"/>
    <col min="1559" max="1559" width="7.5" style="3" bestFit="1" customWidth="1"/>
    <col min="1560" max="1790" width="2.875" style="3"/>
    <col min="1791" max="1791" width="3.75" style="3" customWidth="1"/>
    <col min="1792" max="1803" width="2.875" style="3"/>
    <col min="1804" max="1804" width="8.75" style="3" bestFit="1" customWidth="1"/>
    <col min="1805" max="1812" width="2.875" style="3"/>
    <col min="1813" max="1813" width="8.25" style="3" bestFit="1" customWidth="1"/>
    <col min="1814" max="1814" width="8.75" style="3" bestFit="1" customWidth="1"/>
    <col min="1815" max="1815" width="7.5" style="3" bestFit="1" customWidth="1"/>
    <col min="1816" max="2046" width="2.875" style="3"/>
    <col min="2047" max="2047" width="3.75" style="3" customWidth="1"/>
    <col min="2048" max="2059" width="2.875" style="3"/>
    <col min="2060" max="2060" width="8.75" style="3" bestFit="1" customWidth="1"/>
    <col min="2061" max="2068" width="2.875" style="3"/>
    <col min="2069" max="2069" width="8.25" style="3" bestFit="1" customWidth="1"/>
    <col min="2070" max="2070" width="8.75" style="3" bestFit="1" customWidth="1"/>
    <col min="2071" max="2071" width="7.5" style="3" bestFit="1" customWidth="1"/>
    <col min="2072" max="2302" width="2.875" style="3"/>
    <col min="2303" max="2303" width="3.75" style="3" customWidth="1"/>
    <col min="2304" max="2315" width="2.875" style="3"/>
    <col min="2316" max="2316" width="8.75" style="3" bestFit="1" customWidth="1"/>
    <col min="2317" max="2324" width="2.875" style="3"/>
    <col min="2325" max="2325" width="8.25" style="3" bestFit="1" customWidth="1"/>
    <col min="2326" max="2326" width="8.75" style="3" bestFit="1" customWidth="1"/>
    <col min="2327" max="2327" width="7.5" style="3" bestFit="1" customWidth="1"/>
    <col min="2328" max="2558" width="2.875" style="3"/>
    <col min="2559" max="2559" width="3.75" style="3" customWidth="1"/>
    <col min="2560" max="2571" width="2.875" style="3"/>
    <col min="2572" max="2572" width="8.75" style="3" bestFit="1" customWidth="1"/>
    <col min="2573" max="2580" width="2.875" style="3"/>
    <col min="2581" max="2581" width="8.25" style="3" bestFit="1" customWidth="1"/>
    <col min="2582" max="2582" width="8.75" style="3" bestFit="1" customWidth="1"/>
    <col min="2583" max="2583" width="7.5" style="3" bestFit="1" customWidth="1"/>
    <col min="2584" max="2814" width="2.875" style="3"/>
    <col min="2815" max="2815" width="3.75" style="3" customWidth="1"/>
    <col min="2816" max="2827" width="2.875" style="3"/>
    <col min="2828" max="2828" width="8.75" style="3" bestFit="1" customWidth="1"/>
    <col min="2829" max="2836" width="2.875" style="3"/>
    <col min="2837" max="2837" width="8.25" style="3" bestFit="1" customWidth="1"/>
    <col min="2838" max="2838" width="8.75" style="3" bestFit="1" customWidth="1"/>
    <col min="2839" max="2839" width="7.5" style="3" bestFit="1" customWidth="1"/>
    <col min="2840" max="3070" width="2.875" style="3"/>
    <col min="3071" max="3071" width="3.75" style="3" customWidth="1"/>
    <col min="3072" max="3083" width="2.875" style="3"/>
    <col min="3084" max="3084" width="8.75" style="3" bestFit="1" customWidth="1"/>
    <col min="3085" max="3092" width="2.875" style="3"/>
    <col min="3093" max="3093" width="8.25" style="3" bestFit="1" customWidth="1"/>
    <col min="3094" max="3094" width="8.75" style="3" bestFit="1" customWidth="1"/>
    <col min="3095" max="3095" width="7.5" style="3" bestFit="1" customWidth="1"/>
    <col min="3096" max="3326" width="2.875" style="3"/>
    <col min="3327" max="3327" width="3.75" style="3" customWidth="1"/>
    <col min="3328" max="3339" width="2.875" style="3"/>
    <col min="3340" max="3340" width="8.75" style="3" bestFit="1" customWidth="1"/>
    <col min="3341" max="3348" width="2.875" style="3"/>
    <col min="3349" max="3349" width="8.25" style="3" bestFit="1" customWidth="1"/>
    <col min="3350" max="3350" width="8.75" style="3" bestFit="1" customWidth="1"/>
    <col min="3351" max="3351" width="7.5" style="3" bestFit="1" customWidth="1"/>
    <col min="3352" max="3582" width="2.875" style="3"/>
    <col min="3583" max="3583" width="3.75" style="3" customWidth="1"/>
    <col min="3584" max="3595" width="2.875" style="3"/>
    <col min="3596" max="3596" width="8.75" style="3" bestFit="1" customWidth="1"/>
    <col min="3597" max="3604" width="2.875" style="3"/>
    <col min="3605" max="3605" width="8.25" style="3" bestFit="1" customWidth="1"/>
    <col min="3606" max="3606" width="8.75" style="3" bestFit="1" customWidth="1"/>
    <col min="3607" max="3607" width="7.5" style="3" bestFit="1" customWidth="1"/>
    <col min="3608" max="3838" width="2.875" style="3"/>
    <col min="3839" max="3839" width="3.75" style="3" customWidth="1"/>
    <col min="3840" max="3851" width="2.875" style="3"/>
    <col min="3852" max="3852" width="8.75" style="3" bestFit="1" customWidth="1"/>
    <col min="3853" max="3860" width="2.875" style="3"/>
    <col min="3861" max="3861" width="8.25" style="3" bestFit="1" customWidth="1"/>
    <col min="3862" max="3862" width="8.75" style="3" bestFit="1" customWidth="1"/>
    <col min="3863" max="3863" width="7.5" style="3" bestFit="1" customWidth="1"/>
    <col min="3864" max="4094" width="2.875" style="3"/>
    <col min="4095" max="4095" width="3.75" style="3" customWidth="1"/>
    <col min="4096" max="4107" width="2.875" style="3"/>
    <col min="4108" max="4108" width="8.75" style="3" bestFit="1" customWidth="1"/>
    <col min="4109" max="4116" width="2.875" style="3"/>
    <col min="4117" max="4117" width="8.25" style="3" bestFit="1" customWidth="1"/>
    <col min="4118" max="4118" width="8.75" style="3" bestFit="1" customWidth="1"/>
    <col min="4119" max="4119" width="7.5" style="3" bestFit="1" customWidth="1"/>
    <col min="4120" max="4350" width="2.875" style="3"/>
    <col min="4351" max="4351" width="3.75" style="3" customWidth="1"/>
    <col min="4352" max="4363" width="2.875" style="3"/>
    <col min="4364" max="4364" width="8.75" style="3" bestFit="1" customWidth="1"/>
    <col min="4365" max="4372" width="2.875" style="3"/>
    <col min="4373" max="4373" width="8.25" style="3" bestFit="1" customWidth="1"/>
    <col min="4374" max="4374" width="8.75" style="3" bestFit="1" customWidth="1"/>
    <col min="4375" max="4375" width="7.5" style="3" bestFit="1" customWidth="1"/>
    <col min="4376" max="4606" width="2.875" style="3"/>
    <col min="4607" max="4607" width="3.75" style="3" customWidth="1"/>
    <col min="4608" max="4619" width="2.875" style="3"/>
    <col min="4620" max="4620" width="8.75" style="3" bestFit="1" customWidth="1"/>
    <col min="4621" max="4628" width="2.875" style="3"/>
    <col min="4629" max="4629" width="8.25" style="3" bestFit="1" customWidth="1"/>
    <col min="4630" max="4630" width="8.75" style="3" bestFit="1" customWidth="1"/>
    <col min="4631" max="4631" width="7.5" style="3" bestFit="1" customWidth="1"/>
    <col min="4632" max="4862" width="2.875" style="3"/>
    <col min="4863" max="4863" width="3.75" style="3" customWidth="1"/>
    <col min="4864" max="4875" width="2.875" style="3"/>
    <col min="4876" max="4876" width="8.75" style="3" bestFit="1" customWidth="1"/>
    <col min="4877" max="4884" width="2.875" style="3"/>
    <col min="4885" max="4885" width="8.25" style="3" bestFit="1" customWidth="1"/>
    <col min="4886" max="4886" width="8.75" style="3" bestFit="1" customWidth="1"/>
    <col min="4887" max="4887" width="7.5" style="3" bestFit="1" customWidth="1"/>
    <col min="4888" max="5118" width="2.875" style="3"/>
    <col min="5119" max="5119" width="3.75" style="3" customWidth="1"/>
    <col min="5120" max="5131" width="2.875" style="3"/>
    <col min="5132" max="5132" width="8.75" style="3" bestFit="1" customWidth="1"/>
    <col min="5133" max="5140" width="2.875" style="3"/>
    <col min="5141" max="5141" width="8.25" style="3" bestFit="1" customWidth="1"/>
    <col min="5142" max="5142" width="8.75" style="3" bestFit="1" customWidth="1"/>
    <col min="5143" max="5143" width="7.5" style="3" bestFit="1" customWidth="1"/>
    <col min="5144" max="5374" width="2.875" style="3"/>
    <col min="5375" max="5375" width="3.75" style="3" customWidth="1"/>
    <col min="5376" max="5387" width="2.875" style="3"/>
    <col min="5388" max="5388" width="8.75" style="3" bestFit="1" customWidth="1"/>
    <col min="5389" max="5396" width="2.875" style="3"/>
    <col min="5397" max="5397" width="8.25" style="3" bestFit="1" customWidth="1"/>
    <col min="5398" max="5398" width="8.75" style="3" bestFit="1" customWidth="1"/>
    <col min="5399" max="5399" width="7.5" style="3" bestFit="1" customWidth="1"/>
    <col min="5400" max="5630" width="2.875" style="3"/>
    <col min="5631" max="5631" width="3.75" style="3" customWidth="1"/>
    <col min="5632" max="5643" width="2.875" style="3"/>
    <col min="5644" max="5644" width="8.75" style="3" bestFit="1" customWidth="1"/>
    <col min="5645" max="5652" width="2.875" style="3"/>
    <col min="5653" max="5653" width="8.25" style="3" bestFit="1" customWidth="1"/>
    <col min="5654" max="5654" width="8.75" style="3" bestFit="1" customWidth="1"/>
    <col min="5655" max="5655" width="7.5" style="3" bestFit="1" customWidth="1"/>
    <col min="5656" max="5886" width="2.875" style="3"/>
    <col min="5887" max="5887" width="3.75" style="3" customWidth="1"/>
    <col min="5888" max="5899" width="2.875" style="3"/>
    <col min="5900" max="5900" width="8.75" style="3" bestFit="1" customWidth="1"/>
    <col min="5901" max="5908" width="2.875" style="3"/>
    <col min="5909" max="5909" width="8.25" style="3" bestFit="1" customWidth="1"/>
    <col min="5910" max="5910" width="8.75" style="3" bestFit="1" customWidth="1"/>
    <col min="5911" max="5911" width="7.5" style="3" bestFit="1" customWidth="1"/>
    <col min="5912" max="6142" width="2.875" style="3"/>
    <col min="6143" max="6143" width="3.75" style="3" customWidth="1"/>
    <col min="6144" max="6155" width="2.875" style="3"/>
    <col min="6156" max="6156" width="8.75" style="3" bestFit="1" customWidth="1"/>
    <col min="6157" max="6164" width="2.875" style="3"/>
    <col min="6165" max="6165" width="8.25" style="3" bestFit="1" customWidth="1"/>
    <col min="6166" max="6166" width="8.75" style="3" bestFit="1" customWidth="1"/>
    <col min="6167" max="6167" width="7.5" style="3" bestFit="1" customWidth="1"/>
    <col min="6168" max="6398" width="2.875" style="3"/>
    <col min="6399" max="6399" width="3.75" style="3" customWidth="1"/>
    <col min="6400" max="6411" width="2.875" style="3"/>
    <col min="6412" max="6412" width="8.75" style="3" bestFit="1" customWidth="1"/>
    <col min="6413" max="6420" width="2.875" style="3"/>
    <col min="6421" max="6421" width="8.25" style="3" bestFit="1" customWidth="1"/>
    <col min="6422" max="6422" width="8.75" style="3" bestFit="1" customWidth="1"/>
    <col min="6423" max="6423" width="7.5" style="3" bestFit="1" customWidth="1"/>
    <col min="6424" max="6654" width="2.875" style="3"/>
    <col min="6655" max="6655" width="3.75" style="3" customWidth="1"/>
    <col min="6656" max="6667" width="2.875" style="3"/>
    <col min="6668" max="6668" width="8.75" style="3" bestFit="1" customWidth="1"/>
    <col min="6669" max="6676" width="2.875" style="3"/>
    <col min="6677" max="6677" width="8.25" style="3" bestFit="1" customWidth="1"/>
    <col min="6678" max="6678" width="8.75" style="3" bestFit="1" customWidth="1"/>
    <col min="6679" max="6679" width="7.5" style="3" bestFit="1" customWidth="1"/>
    <col min="6680" max="6910" width="2.875" style="3"/>
    <col min="6911" max="6911" width="3.75" style="3" customWidth="1"/>
    <col min="6912" max="6923" width="2.875" style="3"/>
    <col min="6924" max="6924" width="8.75" style="3" bestFit="1" customWidth="1"/>
    <col min="6925" max="6932" width="2.875" style="3"/>
    <col min="6933" max="6933" width="8.25" style="3" bestFit="1" customWidth="1"/>
    <col min="6934" max="6934" width="8.75" style="3" bestFit="1" customWidth="1"/>
    <col min="6935" max="6935" width="7.5" style="3" bestFit="1" customWidth="1"/>
    <col min="6936" max="7166" width="2.875" style="3"/>
    <col min="7167" max="7167" width="3.75" style="3" customWidth="1"/>
    <col min="7168" max="7179" width="2.875" style="3"/>
    <col min="7180" max="7180" width="8.75" style="3" bestFit="1" customWidth="1"/>
    <col min="7181" max="7188" width="2.875" style="3"/>
    <col min="7189" max="7189" width="8.25" style="3" bestFit="1" customWidth="1"/>
    <col min="7190" max="7190" width="8.75" style="3" bestFit="1" customWidth="1"/>
    <col min="7191" max="7191" width="7.5" style="3" bestFit="1" customWidth="1"/>
    <col min="7192" max="7422" width="2.875" style="3"/>
    <col min="7423" max="7423" width="3.75" style="3" customWidth="1"/>
    <col min="7424" max="7435" width="2.875" style="3"/>
    <col min="7436" max="7436" width="8.75" style="3" bestFit="1" customWidth="1"/>
    <col min="7437" max="7444" width="2.875" style="3"/>
    <col min="7445" max="7445" width="8.25" style="3" bestFit="1" customWidth="1"/>
    <col min="7446" max="7446" width="8.75" style="3" bestFit="1" customWidth="1"/>
    <col min="7447" max="7447" width="7.5" style="3" bestFit="1" customWidth="1"/>
    <col min="7448" max="7678" width="2.875" style="3"/>
    <col min="7679" max="7679" width="3.75" style="3" customWidth="1"/>
    <col min="7680" max="7691" width="2.875" style="3"/>
    <col min="7692" max="7692" width="8.75" style="3" bestFit="1" customWidth="1"/>
    <col min="7693" max="7700" width="2.875" style="3"/>
    <col min="7701" max="7701" width="8.25" style="3" bestFit="1" customWidth="1"/>
    <col min="7702" max="7702" width="8.75" style="3" bestFit="1" customWidth="1"/>
    <col min="7703" max="7703" width="7.5" style="3" bestFit="1" customWidth="1"/>
    <col min="7704" max="7934" width="2.875" style="3"/>
    <col min="7935" max="7935" width="3.75" style="3" customWidth="1"/>
    <col min="7936" max="7947" width="2.875" style="3"/>
    <col min="7948" max="7948" width="8.75" style="3" bestFit="1" customWidth="1"/>
    <col min="7949" max="7956" width="2.875" style="3"/>
    <col min="7957" max="7957" width="8.25" style="3" bestFit="1" customWidth="1"/>
    <col min="7958" max="7958" width="8.75" style="3" bestFit="1" customWidth="1"/>
    <col min="7959" max="7959" width="7.5" style="3" bestFit="1" customWidth="1"/>
    <col min="7960" max="8190" width="2.875" style="3"/>
    <col min="8191" max="8191" width="3.75" style="3" customWidth="1"/>
    <col min="8192" max="8203" width="2.875" style="3"/>
    <col min="8204" max="8204" width="8.75" style="3" bestFit="1" customWidth="1"/>
    <col min="8205" max="8212" width="2.875" style="3"/>
    <col min="8213" max="8213" width="8.25" style="3" bestFit="1" customWidth="1"/>
    <col min="8214" max="8214" width="8.75" style="3" bestFit="1" customWidth="1"/>
    <col min="8215" max="8215" width="7.5" style="3" bestFit="1" customWidth="1"/>
    <col min="8216" max="8446" width="2.875" style="3"/>
    <col min="8447" max="8447" width="3.75" style="3" customWidth="1"/>
    <col min="8448" max="8459" width="2.875" style="3"/>
    <col min="8460" max="8460" width="8.75" style="3" bestFit="1" customWidth="1"/>
    <col min="8461" max="8468" width="2.875" style="3"/>
    <col min="8469" max="8469" width="8.25" style="3" bestFit="1" customWidth="1"/>
    <col min="8470" max="8470" width="8.75" style="3" bestFit="1" customWidth="1"/>
    <col min="8471" max="8471" width="7.5" style="3" bestFit="1" customWidth="1"/>
    <col min="8472" max="8702" width="2.875" style="3"/>
    <col min="8703" max="8703" width="3.75" style="3" customWidth="1"/>
    <col min="8704" max="8715" width="2.875" style="3"/>
    <col min="8716" max="8716" width="8.75" style="3" bestFit="1" customWidth="1"/>
    <col min="8717" max="8724" width="2.875" style="3"/>
    <col min="8725" max="8725" width="8.25" style="3" bestFit="1" customWidth="1"/>
    <col min="8726" max="8726" width="8.75" style="3" bestFit="1" customWidth="1"/>
    <col min="8727" max="8727" width="7.5" style="3" bestFit="1" customWidth="1"/>
    <col min="8728" max="8958" width="2.875" style="3"/>
    <col min="8959" max="8959" width="3.75" style="3" customWidth="1"/>
    <col min="8960" max="8971" width="2.875" style="3"/>
    <col min="8972" max="8972" width="8.75" style="3" bestFit="1" customWidth="1"/>
    <col min="8973" max="8980" width="2.875" style="3"/>
    <col min="8981" max="8981" width="8.25" style="3" bestFit="1" customWidth="1"/>
    <col min="8982" max="8982" width="8.75" style="3" bestFit="1" customWidth="1"/>
    <col min="8983" max="8983" width="7.5" style="3" bestFit="1" customWidth="1"/>
    <col min="8984" max="9214" width="2.875" style="3"/>
    <col min="9215" max="9215" width="3.75" style="3" customWidth="1"/>
    <col min="9216" max="9227" width="2.875" style="3"/>
    <col min="9228" max="9228" width="8.75" style="3" bestFit="1" customWidth="1"/>
    <col min="9229" max="9236" width="2.875" style="3"/>
    <col min="9237" max="9237" width="8.25" style="3" bestFit="1" customWidth="1"/>
    <col min="9238" max="9238" width="8.75" style="3" bestFit="1" customWidth="1"/>
    <col min="9239" max="9239" width="7.5" style="3" bestFit="1" customWidth="1"/>
    <col min="9240" max="9470" width="2.875" style="3"/>
    <col min="9471" max="9471" width="3.75" style="3" customWidth="1"/>
    <col min="9472" max="9483" width="2.875" style="3"/>
    <col min="9484" max="9484" width="8.75" style="3" bestFit="1" customWidth="1"/>
    <col min="9485" max="9492" width="2.875" style="3"/>
    <col min="9493" max="9493" width="8.25" style="3" bestFit="1" customWidth="1"/>
    <col min="9494" max="9494" width="8.75" style="3" bestFit="1" customWidth="1"/>
    <col min="9495" max="9495" width="7.5" style="3" bestFit="1" customWidth="1"/>
    <col min="9496" max="9726" width="2.875" style="3"/>
    <col min="9727" max="9727" width="3.75" style="3" customWidth="1"/>
    <col min="9728" max="9739" width="2.875" style="3"/>
    <col min="9740" max="9740" width="8.75" style="3" bestFit="1" customWidth="1"/>
    <col min="9741" max="9748" width="2.875" style="3"/>
    <col min="9749" max="9749" width="8.25" style="3" bestFit="1" customWidth="1"/>
    <col min="9750" max="9750" width="8.75" style="3" bestFit="1" customWidth="1"/>
    <col min="9751" max="9751" width="7.5" style="3" bestFit="1" customWidth="1"/>
    <col min="9752" max="9982" width="2.875" style="3"/>
    <col min="9983" max="9983" width="3.75" style="3" customWidth="1"/>
    <col min="9984" max="9995" width="2.875" style="3"/>
    <col min="9996" max="9996" width="8.75" style="3" bestFit="1" customWidth="1"/>
    <col min="9997" max="10004" width="2.875" style="3"/>
    <col min="10005" max="10005" width="8.25" style="3" bestFit="1" customWidth="1"/>
    <col min="10006" max="10006" width="8.75" style="3" bestFit="1" customWidth="1"/>
    <col min="10007" max="10007" width="7.5" style="3" bestFit="1" customWidth="1"/>
    <col min="10008" max="10238" width="2.875" style="3"/>
    <col min="10239" max="10239" width="3.75" style="3" customWidth="1"/>
    <col min="10240" max="10251" width="2.875" style="3"/>
    <col min="10252" max="10252" width="8.75" style="3" bestFit="1" customWidth="1"/>
    <col min="10253" max="10260" width="2.875" style="3"/>
    <col min="10261" max="10261" width="8.25" style="3" bestFit="1" customWidth="1"/>
    <col min="10262" max="10262" width="8.75" style="3" bestFit="1" customWidth="1"/>
    <col min="10263" max="10263" width="7.5" style="3" bestFit="1" customWidth="1"/>
    <col min="10264" max="10494" width="2.875" style="3"/>
    <col min="10495" max="10495" width="3.75" style="3" customWidth="1"/>
    <col min="10496" max="10507" width="2.875" style="3"/>
    <col min="10508" max="10508" width="8.75" style="3" bestFit="1" customWidth="1"/>
    <col min="10509" max="10516" width="2.875" style="3"/>
    <col min="10517" max="10517" width="8.25" style="3" bestFit="1" customWidth="1"/>
    <col min="10518" max="10518" width="8.75" style="3" bestFit="1" customWidth="1"/>
    <col min="10519" max="10519" width="7.5" style="3" bestFit="1" customWidth="1"/>
    <col min="10520" max="10750" width="2.875" style="3"/>
    <col min="10751" max="10751" width="3.75" style="3" customWidth="1"/>
    <col min="10752" max="10763" width="2.875" style="3"/>
    <col min="10764" max="10764" width="8.75" style="3" bestFit="1" customWidth="1"/>
    <col min="10765" max="10772" width="2.875" style="3"/>
    <col min="10773" max="10773" width="8.25" style="3" bestFit="1" customWidth="1"/>
    <col min="10774" max="10774" width="8.75" style="3" bestFit="1" customWidth="1"/>
    <col min="10775" max="10775" width="7.5" style="3" bestFit="1" customWidth="1"/>
    <col min="10776" max="11006" width="2.875" style="3"/>
    <col min="11007" max="11007" width="3.75" style="3" customWidth="1"/>
    <col min="11008" max="11019" width="2.875" style="3"/>
    <col min="11020" max="11020" width="8.75" style="3" bestFit="1" customWidth="1"/>
    <col min="11021" max="11028" width="2.875" style="3"/>
    <col min="11029" max="11029" width="8.25" style="3" bestFit="1" customWidth="1"/>
    <col min="11030" max="11030" width="8.75" style="3" bestFit="1" customWidth="1"/>
    <col min="11031" max="11031" width="7.5" style="3" bestFit="1" customWidth="1"/>
    <col min="11032" max="11262" width="2.875" style="3"/>
    <col min="11263" max="11263" width="3.75" style="3" customWidth="1"/>
    <col min="11264" max="11275" width="2.875" style="3"/>
    <col min="11276" max="11276" width="8.75" style="3" bestFit="1" customWidth="1"/>
    <col min="11277" max="11284" width="2.875" style="3"/>
    <col min="11285" max="11285" width="8.25" style="3" bestFit="1" customWidth="1"/>
    <col min="11286" max="11286" width="8.75" style="3" bestFit="1" customWidth="1"/>
    <col min="11287" max="11287" width="7.5" style="3" bestFit="1" customWidth="1"/>
    <col min="11288" max="11518" width="2.875" style="3"/>
    <col min="11519" max="11519" width="3.75" style="3" customWidth="1"/>
    <col min="11520" max="11531" width="2.875" style="3"/>
    <col min="11532" max="11532" width="8.75" style="3" bestFit="1" customWidth="1"/>
    <col min="11533" max="11540" width="2.875" style="3"/>
    <col min="11541" max="11541" width="8.25" style="3" bestFit="1" customWidth="1"/>
    <col min="11542" max="11542" width="8.75" style="3" bestFit="1" customWidth="1"/>
    <col min="11543" max="11543" width="7.5" style="3" bestFit="1" customWidth="1"/>
    <col min="11544" max="11774" width="2.875" style="3"/>
    <col min="11775" max="11775" width="3.75" style="3" customWidth="1"/>
    <col min="11776" max="11787" width="2.875" style="3"/>
    <col min="11788" max="11788" width="8.75" style="3" bestFit="1" customWidth="1"/>
    <col min="11789" max="11796" width="2.875" style="3"/>
    <col min="11797" max="11797" width="8.25" style="3" bestFit="1" customWidth="1"/>
    <col min="11798" max="11798" width="8.75" style="3" bestFit="1" customWidth="1"/>
    <col min="11799" max="11799" width="7.5" style="3" bestFit="1" customWidth="1"/>
    <col min="11800" max="12030" width="2.875" style="3"/>
    <col min="12031" max="12031" width="3.75" style="3" customWidth="1"/>
    <col min="12032" max="12043" width="2.875" style="3"/>
    <col min="12044" max="12044" width="8.75" style="3" bestFit="1" customWidth="1"/>
    <col min="12045" max="12052" width="2.875" style="3"/>
    <col min="12053" max="12053" width="8.25" style="3" bestFit="1" customWidth="1"/>
    <col min="12054" max="12054" width="8.75" style="3" bestFit="1" customWidth="1"/>
    <col min="12055" max="12055" width="7.5" style="3" bestFit="1" customWidth="1"/>
    <col min="12056" max="12286" width="2.875" style="3"/>
    <col min="12287" max="12287" width="3.75" style="3" customWidth="1"/>
    <col min="12288" max="12299" width="2.875" style="3"/>
    <col min="12300" max="12300" width="8.75" style="3" bestFit="1" customWidth="1"/>
    <col min="12301" max="12308" width="2.875" style="3"/>
    <col min="12309" max="12309" width="8.25" style="3" bestFit="1" customWidth="1"/>
    <col min="12310" max="12310" width="8.75" style="3" bestFit="1" customWidth="1"/>
    <col min="12311" max="12311" width="7.5" style="3" bestFit="1" customWidth="1"/>
    <col min="12312" max="12542" width="2.875" style="3"/>
    <col min="12543" max="12543" width="3.75" style="3" customWidth="1"/>
    <col min="12544" max="12555" width="2.875" style="3"/>
    <col min="12556" max="12556" width="8.75" style="3" bestFit="1" customWidth="1"/>
    <col min="12557" max="12564" width="2.875" style="3"/>
    <col min="12565" max="12565" width="8.25" style="3" bestFit="1" customWidth="1"/>
    <col min="12566" max="12566" width="8.75" style="3" bestFit="1" customWidth="1"/>
    <col min="12567" max="12567" width="7.5" style="3" bestFit="1" customWidth="1"/>
    <col min="12568" max="12798" width="2.875" style="3"/>
    <col min="12799" max="12799" width="3.75" style="3" customWidth="1"/>
    <col min="12800" max="12811" width="2.875" style="3"/>
    <col min="12812" max="12812" width="8.75" style="3" bestFit="1" customWidth="1"/>
    <col min="12813" max="12820" width="2.875" style="3"/>
    <col min="12821" max="12821" width="8.25" style="3" bestFit="1" customWidth="1"/>
    <col min="12822" max="12822" width="8.75" style="3" bestFit="1" customWidth="1"/>
    <col min="12823" max="12823" width="7.5" style="3" bestFit="1" customWidth="1"/>
    <col min="12824" max="13054" width="2.875" style="3"/>
    <col min="13055" max="13055" width="3.75" style="3" customWidth="1"/>
    <col min="13056" max="13067" width="2.875" style="3"/>
    <col min="13068" max="13068" width="8.75" style="3" bestFit="1" customWidth="1"/>
    <col min="13069" max="13076" width="2.875" style="3"/>
    <col min="13077" max="13077" width="8.25" style="3" bestFit="1" customWidth="1"/>
    <col min="13078" max="13078" width="8.75" style="3" bestFit="1" customWidth="1"/>
    <col min="13079" max="13079" width="7.5" style="3" bestFit="1" customWidth="1"/>
    <col min="13080" max="13310" width="2.875" style="3"/>
    <col min="13311" max="13311" width="3.75" style="3" customWidth="1"/>
    <col min="13312" max="13323" width="2.875" style="3"/>
    <col min="13324" max="13324" width="8.75" style="3" bestFit="1" customWidth="1"/>
    <col min="13325" max="13332" width="2.875" style="3"/>
    <col min="13333" max="13333" width="8.25" style="3" bestFit="1" customWidth="1"/>
    <col min="13334" max="13334" width="8.75" style="3" bestFit="1" customWidth="1"/>
    <col min="13335" max="13335" width="7.5" style="3" bestFit="1" customWidth="1"/>
    <col min="13336" max="13566" width="2.875" style="3"/>
    <col min="13567" max="13567" width="3.75" style="3" customWidth="1"/>
    <col min="13568" max="13579" width="2.875" style="3"/>
    <col min="13580" max="13580" width="8.75" style="3" bestFit="1" customWidth="1"/>
    <col min="13581" max="13588" width="2.875" style="3"/>
    <col min="13589" max="13589" width="8.25" style="3" bestFit="1" customWidth="1"/>
    <col min="13590" max="13590" width="8.75" style="3" bestFit="1" customWidth="1"/>
    <col min="13591" max="13591" width="7.5" style="3" bestFit="1" customWidth="1"/>
    <col min="13592" max="13822" width="2.875" style="3"/>
    <col min="13823" max="13823" width="3.75" style="3" customWidth="1"/>
    <col min="13824" max="13835" width="2.875" style="3"/>
    <col min="13836" max="13836" width="8.75" style="3" bestFit="1" customWidth="1"/>
    <col min="13837" max="13844" width="2.875" style="3"/>
    <col min="13845" max="13845" width="8.25" style="3" bestFit="1" customWidth="1"/>
    <col min="13846" max="13846" width="8.75" style="3" bestFit="1" customWidth="1"/>
    <col min="13847" max="13847" width="7.5" style="3" bestFit="1" customWidth="1"/>
    <col min="13848" max="14078" width="2.875" style="3"/>
    <col min="14079" max="14079" width="3.75" style="3" customWidth="1"/>
    <col min="14080" max="14091" width="2.875" style="3"/>
    <col min="14092" max="14092" width="8.75" style="3" bestFit="1" customWidth="1"/>
    <col min="14093" max="14100" width="2.875" style="3"/>
    <col min="14101" max="14101" width="8.25" style="3" bestFit="1" customWidth="1"/>
    <col min="14102" max="14102" width="8.75" style="3" bestFit="1" customWidth="1"/>
    <col min="14103" max="14103" width="7.5" style="3" bestFit="1" customWidth="1"/>
    <col min="14104" max="14334" width="2.875" style="3"/>
    <col min="14335" max="14335" width="3.75" style="3" customWidth="1"/>
    <col min="14336" max="14347" width="2.875" style="3"/>
    <col min="14348" max="14348" width="8.75" style="3" bestFit="1" customWidth="1"/>
    <col min="14349" max="14356" width="2.875" style="3"/>
    <col min="14357" max="14357" width="8.25" style="3" bestFit="1" customWidth="1"/>
    <col min="14358" max="14358" width="8.75" style="3" bestFit="1" customWidth="1"/>
    <col min="14359" max="14359" width="7.5" style="3" bestFit="1" customWidth="1"/>
    <col min="14360" max="14590" width="2.875" style="3"/>
    <col min="14591" max="14591" width="3.75" style="3" customWidth="1"/>
    <col min="14592" max="14603" width="2.875" style="3"/>
    <col min="14604" max="14604" width="8.75" style="3" bestFit="1" customWidth="1"/>
    <col min="14605" max="14612" width="2.875" style="3"/>
    <col min="14613" max="14613" width="8.25" style="3" bestFit="1" customWidth="1"/>
    <col min="14614" max="14614" width="8.75" style="3" bestFit="1" customWidth="1"/>
    <col min="14615" max="14615" width="7.5" style="3" bestFit="1" customWidth="1"/>
    <col min="14616" max="14846" width="2.875" style="3"/>
    <col min="14847" max="14847" width="3.75" style="3" customWidth="1"/>
    <col min="14848" max="14859" width="2.875" style="3"/>
    <col min="14860" max="14860" width="8.75" style="3" bestFit="1" customWidth="1"/>
    <col min="14861" max="14868" width="2.875" style="3"/>
    <col min="14869" max="14869" width="8.25" style="3" bestFit="1" customWidth="1"/>
    <col min="14870" max="14870" width="8.75" style="3" bestFit="1" customWidth="1"/>
    <col min="14871" max="14871" width="7.5" style="3" bestFit="1" customWidth="1"/>
    <col min="14872" max="15102" width="2.875" style="3"/>
    <col min="15103" max="15103" width="3.75" style="3" customWidth="1"/>
    <col min="15104" max="15115" width="2.875" style="3"/>
    <col min="15116" max="15116" width="8.75" style="3" bestFit="1" customWidth="1"/>
    <col min="15117" max="15124" width="2.875" style="3"/>
    <col min="15125" max="15125" width="8.25" style="3" bestFit="1" customWidth="1"/>
    <col min="15126" max="15126" width="8.75" style="3" bestFit="1" customWidth="1"/>
    <col min="15127" max="15127" width="7.5" style="3" bestFit="1" customWidth="1"/>
    <col min="15128" max="15358" width="2.875" style="3"/>
    <col min="15359" max="15359" width="3.75" style="3" customWidth="1"/>
    <col min="15360" max="15371" width="2.875" style="3"/>
    <col min="15372" max="15372" width="8.75" style="3" bestFit="1" customWidth="1"/>
    <col min="15373" max="15380" width="2.875" style="3"/>
    <col min="15381" max="15381" width="8.25" style="3" bestFit="1" customWidth="1"/>
    <col min="15382" max="15382" width="8.75" style="3" bestFit="1" customWidth="1"/>
    <col min="15383" max="15383" width="7.5" style="3" bestFit="1" customWidth="1"/>
    <col min="15384" max="15614" width="2.875" style="3"/>
    <col min="15615" max="15615" width="3.75" style="3" customWidth="1"/>
    <col min="15616" max="15627" width="2.875" style="3"/>
    <col min="15628" max="15628" width="8.75" style="3" bestFit="1" customWidth="1"/>
    <col min="15629" max="15636" width="2.875" style="3"/>
    <col min="15637" max="15637" width="8.25" style="3" bestFit="1" customWidth="1"/>
    <col min="15638" max="15638" width="8.75" style="3" bestFit="1" customWidth="1"/>
    <col min="15639" max="15639" width="7.5" style="3" bestFit="1" customWidth="1"/>
    <col min="15640" max="15870" width="2.875" style="3"/>
    <col min="15871" max="15871" width="3.75" style="3" customWidth="1"/>
    <col min="15872" max="15883" width="2.875" style="3"/>
    <col min="15884" max="15884" width="8.75" style="3" bestFit="1" customWidth="1"/>
    <col min="15885" max="15892" width="2.875" style="3"/>
    <col min="15893" max="15893" width="8.25" style="3" bestFit="1" customWidth="1"/>
    <col min="15894" max="15894" width="8.75" style="3" bestFit="1" customWidth="1"/>
    <col min="15895" max="15895" width="7.5" style="3" bestFit="1" customWidth="1"/>
    <col min="15896" max="16126" width="2.875" style="3"/>
    <col min="16127" max="16127" width="3.75" style="3" customWidth="1"/>
    <col min="16128" max="16139" width="2.875" style="3"/>
    <col min="16140" max="16140" width="8.75" style="3" bestFit="1" customWidth="1"/>
    <col min="16141" max="16148" width="2.875" style="3"/>
    <col min="16149" max="16149" width="8.25" style="3" bestFit="1" customWidth="1"/>
    <col min="16150" max="16150" width="8.75" style="3" bestFit="1" customWidth="1"/>
    <col min="16151" max="16151" width="7.5" style="3" bestFit="1" customWidth="1"/>
    <col min="16152" max="16384" width="2.875" style="3"/>
  </cols>
  <sheetData>
    <row r="1" spans="1:84" ht="32.25" customHeight="1">
      <c r="A1" s="1" t="s">
        <v>0</v>
      </c>
      <c r="B1" s="1876" t="s">
        <v>405</v>
      </c>
      <c r="C1" s="1876"/>
      <c r="D1" s="1876"/>
      <c r="E1" s="1876"/>
      <c r="F1" s="1876"/>
      <c r="G1" s="1876"/>
      <c r="H1" s="1876"/>
      <c r="I1" s="1876"/>
      <c r="J1" s="1876"/>
      <c r="K1" s="1876"/>
      <c r="L1" s="1876"/>
      <c r="M1" s="1876"/>
      <c r="N1" s="1876"/>
      <c r="O1" s="1876"/>
      <c r="P1" s="1876"/>
      <c r="Q1" s="1876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X1" s="4"/>
    </row>
    <row r="2" spans="1:84" ht="17.2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 t="s">
        <v>2</v>
      </c>
      <c r="AE2" s="10" t="s">
        <v>3</v>
      </c>
      <c r="AX2" s="4"/>
    </row>
    <row r="3" spans="1:84" ht="17.25" customHeight="1">
      <c r="A3" s="6"/>
      <c r="B3" s="1104" t="s">
        <v>4</v>
      </c>
      <c r="C3" s="1455"/>
      <c r="D3" s="1455"/>
      <c r="E3" s="1455"/>
      <c r="F3" s="1455"/>
      <c r="G3" s="1455" t="s">
        <v>5</v>
      </c>
      <c r="H3" s="1455"/>
      <c r="I3" s="1455"/>
      <c r="J3" s="1455"/>
      <c r="K3" s="1455"/>
      <c r="L3" s="1455"/>
      <c r="M3" s="1455"/>
      <c r="N3" s="1455"/>
      <c r="O3" s="1599" t="s">
        <v>6</v>
      </c>
      <c r="P3" s="1599"/>
      <c r="Q3" s="1599"/>
      <c r="R3" s="1599"/>
      <c r="S3" s="1599" t="s">
        <v>7</v>
      </c>
      <c r="T3" s="1599"/>
      <c r="U3" s="1599"/>
      <c r="V3" s="1599"/>
      <c r="W3" s="1599"/>
      <c r="X3" s="1455" t="s">
        <v>8</v>
      </c>
      <c r="Y3" s="1455"/>
      <c r="Z3" s="1102"/>
      <c r="AA3" s="9"/>
      <c r="AB3" s="9"/>
      <c r="AC3" s="9"/>
      <c r="AD3" s="10" t="s">
        <v>9</v>
      </c>
      <c r="AE3" s="10" t="s">
        <v>10</v>
      </c>
      <c r="AF3" s="10"/>
      <c r="AX3" s="11"/>
      <c r="AY3" s="12"/>
      <c r="AZ3" s="13"/>
      <c r="BA3" s="13"/>
      <c r="BM3" s="14" t="s">
        <v>11</v>
      </c>
      <c r="BN3" s="13"/>
      <c r="BO3" s="13"/>
      <c r="BP3" s="13"/>
      <c r="BQ3" s="13"/>
      <c r="BR3" s="15"/>
      <c r="BS3" s="16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</row>
    <row r="4" spans="1:84" ht="17.25" customHeight="1">
      <c r="A4" s="6"/>
      <c r="B4" s="1456"/>
      <c r="C4" s="1457"/>
      <c r="D4" s="1457"/>
      <c r="E4" s="1457"/>
      <c r="F4" s="1457"/>
      <c r="G4" s="1600" t="s">
        <v>12</v>
      </c>
      <c r="H4" s="1600"/>
      <c r="I4" s="1600"/>
      <c r="J4" s="1600"/>
      <c r="K4" s="1600" t="s">
        <v>13</v>
      </c>
      <c r="L4" s="1600"/>
      <c r="M4" s="1600"/>
      <c r="N4" s="1600"/>
      <c r="O4" s="1600" t="s">
        <v>14</v>
      </c>
      <c r="P4" s="1600"/>
      <c r="Q4" s="1600"/>
      <c r="R4" s="1600"/>
      <c r="S4" s="1601" t="s">
        <v>15</v>
      </c>
      <c r="T4" s="1601"/>
      <c r="U4" s="1601"/>
      <c r="V4" s="1601"/>
      <c r="W4" s="1601"/>
      <c r="X4" s="1602" t="s">
        <v>16</v>
      </c>
      <c r="Y4" s="1602"/>
      <c r="Z4" s="1603"/>
      <c r="AA4" s="9"/>
      <c r="AB4" s="9"/>
      <c r="AC4" s="9"/>
      <c r="AD4" s="10" t="s">
        <v>17</v>
      </c>
      <c r="AE4" s="10" t="s">
        <v>18</v>
      </c>
      <c r="AX4" s="958" t="s">
        <v>19</v>
      </c>
      <c r="AY4" s="959"/>
      <c r="AZ4" s="960"/>
      <c r="BA4" s="1365" t="s">
        <v>20</v>
      </c>
      <c r="BB4" s="1366"/>
      <c r="BC4" s="18" t="s">
        <v>21</v>
      </c>
      <c r="BD4" s="928" t="s">
        <v>22</v>
      </c>
      <c r="BE4" s="18" t="s">
        <v>23</v>
      </c>
      <c r="BF4" s="1337" t="s">
        <v>24</v>
      </c>
      <c r="BG4" s="18" t="s">
        <v>23</v>
      </c>
      <c r="BH4" s="1337" t="s">
        <v>24</v>
      </c>
      <c r="BI4" s="11"/>
      <c r="BJ4" s="968" t="s">
        <v>25</v>
      </c>
      <c r="BK4" s="19"/>
      <c r="BL4" s="968" t="s">
        <v>26</v>
      </c>
      <c r="BM4" s="968"/>
      <c r="BN4" s="968" t="s">
        <v>27</v>
      </c>
      <c r="BO4" s="968"/>
      <c r="BP4" s="13"/>
      <c r="BQ4" s="20"/>
      <c r="BR4" s="20"/>
      <c r="BS4" s="20"/>
      <c r="BT4" s="20"/>
      <c r="BU4" s="20"/>
      <c r="BV4" s="21"/>
      <c r="BW4" s="21"/>
      <c r="BX4" s="21"/>
      <c r="BY4" s="21"/>
      <c r="BZ4" s="21"/>
      <c r="CA4" s="20"/>
      <c r="CB4" s="20"/>
      <c r="CC4" s="20"/>
      <c r="CD4" s="20"/>
      <c r="CE4" s="20"/>
    </row>
    <row r="5" spans="1:84" ht="30.75" customHeight="1" thickBot="1">
      <c r="A5" s="6"/>
      <c r="B5" s="1497" t="s">
        <v>408</v>
      </c>
      <c r="C5" s="1498"/>
      <c r="D5" s="1498"/>
      <c r="E5" s="1498"/>
      <c r="F5" s="1498"/>
      <c r="G5" s="1878">
        <v>8.4</v>
      </c>
      <c r="H5" s="1878"/>
      <c r="I5" s="1878"/>
      <c r="J5" s="1878"/>
      <c r="K5" s="1878">
        <v>8.8000000000000007</v>
      </c>
      <c r="L5" s="1878"/>
      <c r="M5" s="1878"/>
      <c r="N5" s="1878"/>
      <c r="O5" s="1878">
        <v>5.0999999999999996</v>
      </c>
      <c r="P5" s="1878"/>
      <c r="Q5" s="1878"/>
      <c r="R5" s="1878"/>
      <c r="S5" s="1879">
        <v>150</v>
      </c>
      <c r="T5" s="1879"/>
      <c r="U5" s="1879"/>
      <c r="V5" s="1879"/>
      <c r="W5" s="1879"/>
      <c r="X5" s="1880">
        <v>6.3</v>
      </c>
      <c r="Y5" s="1880"/>
      <c r="Z5" s="1881"/>
      <c r="AA5" s="9"/>
      <c r="AB5" s="9"/>
      <c r="AC5" s="9"/>
      <c r="AD5" s="10" t="s">
        <v>28</v>
      </c>
      <c r="AE5" s="10" t="s">
        <v>29</v>
      </c>
      <c r="AF5" s="10"/>
      <c r="AG5" s="10"/>
      <c r="AH5" s="10"/>
      <c r="AX5" s="1645"/>
      <c r="AY5" s="1646"/>
      <c r="AZ5" s="1647"/>
      <c r="BA5" s="1648"/>
      <c r="BB5" s="1649"/>
      <c r="BC5" s="22" t="s">
        <v>30</v>
      </c>
      <c r="BD5" s="1650"/>
      <c r="BE5" s="22" t="s">
        <v>31</v>
      </c>
      <c r="BF5" s="1651"/>
      <c r="BG5" s="22" t="s">
        <v>32</v>
      </c>
      <c r="BH5" s="1651"/>
      <c r="BI5" s="11"/>
      <c r="BJ5" s="968"/>
      <c r="BK5" s="19"/>
      <c r="BL5" s="968"/>
      <c r="BM5" s="968"/>
      <c r="BN5" s="968"/>
      <c r="BO5" s="968"/>
      <c r="BP5" s="13"/>
      <c r="BQ5" s="20"/>
      <c r="BR5" s="20"/>
      <c r="BS5" s="20"/>
      <c r="BT5" s="20"/>
      <c r="BU5" s="20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spans="1:84" ht="17.25" customHeight="1" thickTop="1">
      <c r="A6" s="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 t="s">
        <v>33</v>
      </c>
      <c r="AE6" s="10" t="s">
        <v>34</v>
      </c>
      <c r="AX6" s="23">
        <v>0</v>
      </c>
      <c r="AY6" s="24" t="s">
        <v>35</v>
      </c>
      <c r="AZ6" s="25">
        <v>1</v>
      </c>
      <c r="BA6" s="865">
        <f t="shared" ref="BA6:BA10" si="0">AZ6-AX6</f>
        <v>1</v>
      </c>
      <c r="BB6" s="866"/>
      <c r="BC6" s="26">
        <f t="shared" ref="BC6:BC13" si="1">1200*(BN6+6)</f>
        <v>18000</v>
      </c>
      <c r="BD6" s="27">
        <f t="shared" ref="BD6:BD32" si="2">IF(BA6="","",(IF(BJ6&lt;0.5*$G$5,((BJ6/$G$5+0.125)/1.25),((BJ6/$G$5)-2)/(-3))))</f>
        <v>0.14761904761904762</v>
      </c>
      <c r="BE6" s="1693">
        <f t="shared" ref="BE6:BE32" si="3">IF(BD6&lt;0,0,+BD6*BA6/BC6)</f>
        <v>8.2010582010582018E-6</v>
      </c>
      <c r="BF6" s="1694"/>
      <c r="BG6" s="1877" t="s">
        <v>406</v>
      </c>
      <c r="BH6" s="1640"/>
      <c r="BI6" s="11"/>
      <c r="BJ6" s="28">
        <f>SUM(BA6)/2</f>
        <v>0.5</v>
      </c>
      <c r="BK6" s="29"/>
      <c r="BL6" s="871">
        <v>1</v>
      </c>
      <c r="BM6" s="871"/>
      <c r="BN6" s="1606">
        <v>9</v>
      </c>
      <c r="BO6" s="1607"/>
      <c r="BP6" s="13"/>
      <c r="BQ6" s="30" t="s">
        <v>36</v>
      </c>
      <c r="BR6" s="31" t="s">
        <v>37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3"/>
    </row>
    <row r="7" spans="1:84" ht="17.25" customHeight="1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 t="s">
        <v>38</v>
      </c>
      <c r="AE7" s="10" t="s">
        <v>39</v>
      </c>
      <c r="AF7" s="10"/>
      <c r="AG7" s="10"/>
      <c r="AH7" s="10"/>
      <c r="AI7" s="10"/>
      <c r="AJ7" s="10"/>
      <c r="AK7" s="10"/>
      <c r="AX7" s="34">
        <f>+AZ6</f>
        <v>1</v>
      </c>
      <c r="AY7" s="24" t="s">
        <v>35</v>
      </c>
      <c r="AZ7" s="35">
        <v>2</v>
      </c>
      <c r="BA7" s="865">
        <f t="shared" si="0"/>
        <v>1</v>
      </c>
      <c r="BB7" s="866"/>
      <c r="BC7" s="26">
        <f t="shared" si="1"/>
        <v>20400</v>
      </c>
      <c r="BD7" s="36">
        <f t="shared" si="2"/>
        <v>0.24285714285714288</v>
      </c>
      <c r="BE7" s="1677">
        <f t="shared" si="3"/>
        <v>1.1904761904761907E-5</v>
      </c>
      <c r="BF7" s="1678"/>
      <c r="BG7" s="1874" t="s">
        <v>406</v>
      </c>
      <c r="BH7" s="1433"/>
      <c r="BI7" s="11"/>
      <c r="BJ7" s="28">
        <f>SUM(BA6)+(BA7/2)</f>
        <v>1.5</v>
      </c>
      <c r="BK7" s="29"/>
      <c r="BL7" s="871">
        <v>2</v>
      </c>
      <c r="BM7" s="871"/>
      <c r="BN7" s="1606">
        <v>11</v>
      </c>
      <c r="BO7" s="1607"/>
      <c r="BP7" s="13"/>
      <c r="BQ7" s="1059" t="s">
        <v>40</v>
      </c>
      <c r="BR7" s="1060"/>
      <c r="BS7" s="1060"/>
      <c r="BT7" s="1060"/>
      <c r="BU7" s="1061"/>
      <c r="BV7" s="1690" t="s">
        <v>41</v>
      </c>
      <c r="BW7" s="1691"/>
      <c r="BX7" s="1691"/>
      <c r="BY7" s="1691"/>
      <c r="BZ7" s="1692"/>
      <c r="CA7" s="1059" t="s">
        <v>42</v>
      </c>
      <c r="CB7" s="1060"/>
      <c r="CC7" s="1060"/>
      <c r="CD7" s="1060"/>
      <c r="CE7" s="1061"/>
    </row>
    <row r="8" spans="1:84" ht="17.25" customHeight="1">
      <c r="A8" s="6"/>
      <c r="B8" s="7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 t="s">
        <v>44</v>
      </c>
      <c r="AE8" s="10" t="s">
        <v>45</v>
      </c>
      <c r="AF8" s="10"/>
      <c r="AX8" s="34">
        <f t="shared" ref="AX8:AX9" si="4">+AZ7</f>
        <v>2</v>
      </c>
      <c r="AY8" s="24" t="s">
        <v>35</v>
      </c>
      <c r="AZ8" s="35">
        <v>3</v>
      </c>
      <c r="BA8" s="865">
        <f t="shared" si="0"/>
        <v>1</v>
      </c>
      <c r="BB8" s="866"/>
      <c r="BC8" s="26">
        <f t="shared" si="1"/>
        <v>32400</v>
      </c>
      <c r="BD8" s="36">
        <f t="shared" si="2"/>
        <v>0.33809523809523812</v>
      </c>
      <c r="BE8" s="1677">
        <f t="shared" si="3"/>
        <v>1.0435038212815991E-5</v>
      </c>
      <c r="BF8" s="1678"/>
      <c r="BG8" s="1874" t="s">
        <v>406</v>
      </c>
      <c r="BH8" s="1433"/>
      <c r="BI8" s="11"/>
      <c r="BJ8" s="28">
        <f>SUM(BA$6:BA7)+(BA8/2)</f>
        <v>2.5</v>
      </c>
      <c r="BK8" s="29"/>
      <c r="BL8" s="871">
        <v>3</v>
      </c>
      <c r="BM8" s="871"/>
      <c r="BN8" s="1606">
        <v>21</v>
      </c>
      <c r="BO8" s="1607"/>
      <c r="BP8" s="13"/>
      <c r="BQ8" s="1149" t="s">
        <v>46</v>
      </c>
      <c r="BR8" s="1150"/>
      <c r="BS8" s="1150"/>
      <c r="BT8" s="1150"/>
      <c r="BU8" s="1151"/>
      <c r="BV8" s="1682" t="s">
        <v>47</v>
      </c>
      <c r="BW8" s="1683"/>
      <c r="BX8" s="1683"/>
      <c r="BY8" s="1683"/>
      <c r="BZ8" s="1684"/>
      <c r="CA8" s="1122"/>
      <c r="CB8" s="1123"/>
      <c r="CC8" s="1123"/>
      <c r="CD8" s="1123"/>
      <c r="CE8" s="1124"/>
    </row>
    <row r="9" spans="1:84" ht="20.25" customHeight="1">
      <c r="A9" s="6"/>
      <c r="B9" s="1142" t="s">
        <v>48</v>
      </c>
      <c r="C9" s="1142"/>
      <c r="D9" s="787" t="s">
        <v>49</v>
      </c>
      <c r="E9" s="787"/>
      <c r="F9" s="787"/>
      <c r="G9" s="787"/>
      <c r="H9" s="787" t="s">
        <v>50</v>
      </c>
      <c r="I9" s="787"/>
      <c r="J9" s="787"/>
      <c r="K9" s="1142" t="s">
        <v>51</v>
      </c>
      <c r="L9" s="1142"/>
      <c r="M9" s="1142"/>
      <c r="N9" s="1142" t="s">
        <v>52</v>
      </c>
      <c r="O9" s="1142"/>
      <c r="P9" s="1871" t="s">
        <v>53</v>
      </c>
      <c r="Q9" s="1871"/>
      <c r="R9" s="1873" t="s">
        <v>54</v>
      </c>
      <c r="S9" s="1873"/>
      <c r="T9" s="1873"/>
      <c r="U9" s="1873" t="s">
        <v>55</v>
      </c>
      <c r="V9" s="1873"/>
      <c r="W9" s="1873"/>
      <c r="X9" s="1094" t="s">
        <v>56</v>
      </c>
      <c r="Y9" s="1094"/>
      <c r="Z9" s="1094"/>
      <c r="AA9" s="9"/>
      <c r="AH9" s="1291" t="s">
        <v>57</v>
      </c>
      <c r="AI9" s="1291"/>
      <c r="AJ9" s="1291"/>
      <c r="AK9" s="787" t="s">
        <v>58</v>
      </c>
      <c r="AL9" s="787"/>
      <c r="AM9" s="787"/>
      <c r="AV9" s="37"/>
      <c r="AW9" s="5"/>
      <c r="AX9" s="34">
        <f t="shared" si="4"/>
        <v>3</v>
      </c>
      <c r="AY9" s="24" t="s">
        <v>35</v>
      </c>
      <c r="AZ9" s="35">
        <v>4</v>
      </c>
      <c r="BA9" s="865">
        <f t="shared" si="0"/>
        <v>1</v>
      </c>
      <c r="BB9" s="866"/>
      <c r="BC9" s="26">
        <f t="shared" si="1"/>
        <v>21600</v>
      </c>
      <c r="BD9" s="36">
        <f t="shared" si="2"/>
        <v>0.43333333333333329</v>
      </c>
      <c r="BE9" s="1677">
        <f t="shared" si="3"/>
        <v>2.0061728395061728E-5</v>
      </c>
      <c r="BF9" s="1678"/>
      <c r="BG9" s="1857" t="s">
        <v>406</v>
      </c>
      <c r="BH9" s="1680"/>
      <c r="BI9" s="11"/>
      <c r="BJ9" s="28">
        <f>SUM(BA$6:BA8)+(BA9/2)</f>
        <v>3.5</v>
      </c>
      <c r="BK9" s="29"/>
      <c r="BL9" s="871">
        <v>4</v>
      </c>
      <c r="BM9" s="871"/>
      <c r="BN9" s="1606">
        <v>12</v>
      </c>
      <c r="BO9" s="1607"/>
      <c r="BP9" s="13"/>
      <c r="BQ9" s="1152"/>
      <c r="BR9" s="1153"/>
      <c r="BS9" s="1153"/>
      <c r="BT9" s="1153"/>
      <c r="BU9" s="1154"/>
      <c r="BV9" s="1688" t="s">
        <v>59</v>
      </c>
      <c r="BW9" s="1203"/>
      <c r="BX9" s="1203"/>
      <c r="BY9" s="1203"/>
      <c r="BZ9" s="1689"/>
      <c r="CA9" s="1062" t="s">
        <v>60</v>
      </c>
      <c r="CB9" s="1063"/>
      <c r="CC9" s="1063"/>
      <c r="CD9" s="1063"/>
      <c r="CE9" s="1064"/>
    </row>
    <row r="10" spans="1:84" ht="20.25" customHeight="1">
      <c r="A10" s="6"/>
      <c r="B10" s="1144"/>
      <c r="C10" s="1144"/>
      <c r="D10" s="1145"/>
      <c r="E10" s="1145"/>
      <c r="F10" s="1145"/>
      <c r="G10" s="1145"/>
      <c r="H10" s="1145" t="s">
        <v>14</v>
      </c>
      <c r="I10" s="1145"/>
      <c r="J10" s="1145"/>
      <c r="K10" s="1872" t="s">
        <v>15</v>
      </c>
      <c r="L10" s="1872"/>
      <c r="M10" s="1872"/>
      <c r="N10" s="1872" t="s">
        <v>15</v>
      </c>
      <c r="O10" s="1872"/>
      <c r="P10" s="1872"/>
      <c r="Q10" s="1872"/>
      <c r="R10" s="1872" t="s">
        <v>61</v>
      </c>
      <c r="S10" s="1872"/>
      <c r="T10" s="1872"/>
      <c r="U10" s="1875" t="s">
        <v>15</v>
      </c>
      <c r="V10" s="1875"/>
      <c r="W10" s="1875"/>
      <c r="X10" s="1096"/>
      <c r="Y10" s="1096"/>
      <c r="Z10" s="1096"/>
      <c r="AA10" s="9"/>
      <c r="AH10" s="1293"/>
      <c r="AI10" s="1293"/>
      <c r="AJ10" s="1293"/>
      <c r="AK10" s="1145"/>
      <c r="AL10" s="1145"/>
      <c r="AM10" s="1145"/>
      <c r="AV10" s="39"/>
      <c r="AW10" s="5"/>
      <c r="AX10" s="34">
        <f>+AZ9</f>
        <v>4</v>
      </c>
      <c r="AY10" s="24" t="s">
        <v>35</v>
      </c>
      <c r="AZ10" s="35">
        <v>5</v>
      </c>
      <c r="BA10" s="865">
        <f t="shared" si="0"/>
        <v>1</v>
      </c>
      <c r="BB10" s="866"/>
      <c r="BC10" s="26">
        <f t="shared" si="1"/>
        <v>25200</v>
      </c>
      <c r="BD10" s="36">
        <f t="shared" si="2"/>
        <v>0.48809523809523814</v>
      </c>
      <c r="BE10" s="1677">
        <f t="shared" si="3"/>
        <v>1.9368858654572942E-5</v>
      </c>
      <c r="BF10" s="1678"/>
      <c r="BG10" s="1857" t="s">
        <v>406</v>
      </c>
      <c r="BH10" s="1680"/>
      <c r="BI10" s="11"/>
      <c r="BJ10" s="28">
        <f>SUM(BA$6:BA9)+(BA10/2)</f>
        <v>4.5</v>
      </c>
      <c r="BK10" s="29"/>
      <c r="BL10" s="871">
        <v>5</v>
      </c>
      <c r="BM10" s="871"/>
      <c r="BN10" s="1606">
        <v>15</v>
      </c>
      <c r="BO10" s="1607"/>
      <c r="BP10" s="13"/>
      <c r="BQ10" s="1152"/>
      <c r="BR10" s="1153"/>
      <c r="BS10" s="1153"/>
      <c r="BT10" s="1153"/>
      <c r="BU10" s="1154"/>
      <c r="BV10" s="1062" t="s">
        <v>62</v>
      </c>
      <c r="BW10" s="1063"/>
      <c r="BX10" s="1063"/>
      <c r="BY10" s="1063"/>
      <c r="BZ10" s="1064"/>
      <c r="CA10" s="1062" t="s">
        <v>63</v>
      </c>
      <c r="CB10" s="1063"/>
      <c r="CC10" s="1063"/>
      <c r="CD10" s="1063"/>
      <c r="CE10" s="1064"/>
    </row>
    <row r="11" spans="1:84" ht="23.25" customHeight="1">
      <c r="A11" s="6"/>
      <c r="B11" s="1866" t="s">
        <v>406</v>
      </c>
      <c r="C11" s="1866"/>
      <c r="D11" s="1870">
        <v>5.0999999999999996</v>
      </c>
      <c r="E11" s="1870"/>
      <c r="F11" s="1868">
        <v>5.6</v>
      </c>
      <c r="G11" s="1868"/>
      <c r="H11" s="1869">
        <f>F11-D11</f>
        <v>0.5</v>
      </c>
      <c r="I11" s="1869"/>
      <c r="J11" s="1869"/>
      <c r="K11" s="1866">
        <v>18</v>
      </c>
      <c r="L11" s="1866"/>
      <c r="M11" s="1866"/>
      <c r="N11" s="1866">
        <v>3</v>
      </c>
      <c r="O11" s="1866"/>
      <c r="P11" s="1865">
        <f>+N11*H11</f>
        <v>1.5</v>
      </c>
      <c r="Q11" s="1865"/>
      <c r="R11" s="1868">
        <v>23</v>
      </c>
      <c r="S11" s="1868"/>
      <c r="T11" s="1868"/>
      <c r="U11" s="1863">
        <f>+BC6</f>
        <v>18000</v>
      </c>
      <c r="V11" s="1863"/>
      <c r="W11" s="1863"/>
      <c r="X11" s="1864" t="s">
        <v>394</v>
      </c>
      <c r="Y11" s="1864"/>
      <c r="Z11" s="1864"/>
      <c r="AA11" s="9"/>
      <c r="AH11" s="1865">
        <f>+ROUND(RADIANS(R11),4)</f>
        <v>0.40139999999999998</v>
      </c>
      <c r="AI11" s="1865"/>
      <c r="AJ11" s="1865"/>
      <c r="AK11" s="1865">
        <f>+ROUND(TAN(AH11)*H11,4)</f>
        <v>0.2122</v>
      </c>
      <c r="AL11" s="1865"/>
      <c r="AM11" s="1865"/>
      <c r="AV11" s="39"/>
      <c r="AW11" s="5"/>
      <c r="AX11" s="34">
        <f>+AZ10</f>
        <v>5</v>
      </c>
      <c r="AY11" s="24" t="s">
        <v>35</v>
      </c>
      <c r="AZ11" s="35">
        <v>6</v>
      </c>
      <c r="BA11" s="865">
        <f>AZ11-AX11</f>
        <v>1</v>
      </c>
      <c r="BB11" s="866"/>
      <c r="BC11" s="26">
        <f t="shared" si="1"/>
        <v>15600</v>
      </c>
      <c r="BD11" s="36">
        <f t="shared" si="2"/>
        <v>0.44841269841269843</v>
      </c>
      <c r="BE11" s="1677">
        <f t="shared" si="3"/>
        <v>2.8744403744403746E-5</v>
      </c>
      <c r="BF11" s="1678"/>
      <c r="BG11" s="1857" t="s">
        <v>406</v>
      </c>
      <c r="BH11" s="1680"/>
      <c r="BI11" s="11"/>
      <c r="BJ11" s="28">
        <f>SUM(BA$6:BA10)+(BA11/2)</f>
        <v>5.5</v>
      </c>
      <c r="BK11" s="29"/>
      <c r="BL11" s="871">
        <v>6</v>
      </c>
      <c r="BM11" s="871"/>
      <c r="BN11" s="1606">
        <v>7</v>
      </c>
      <c r="BO11" s="1607"/>
      <c r="BP11" s="40"/>
      <c r="BQ11" s="1155"/>
      <c r="BR11" s="1156"/>
      <c r="BS11" s="1156"/>
      <c r="BT11" s="1156"/>
      <c r="BU11" s="1157"/>
      <c r="BV11" s="1199" t="s">
        <v>64</v>
      </c>
      <c r="BW11" s="1200"/>
      <c r="BX11" s="1200"/>
      <c r="BY11" s="1200"/>
      <c r="BZ11" s="1201"/>
      <c r="CA11" s="1119"/>
      <c r="CB11" s="1120"/>
      <c r="CC11" s="1120"/>
      <c r="CD11" s="1120"/>
      <c r="CE11" s="1121"/>
    </row>
    <row r="12" spans="1:84" ht="23.25" customHeight="1">
      <c r="A12" s="6"/>
      <c r="B12" s="1866" t="s">
        <v>407</v>
      </c>
      <c r="C12" s="1866"/>
      <c r="D12" s="1867">
        <f>+F11</f>
        <v>5.6</v>
      </c>
      <c r="E12" s="1867"/>
      <c r="F12" s="1868">
        <v>8</v>
      </c>
      <c r="G12" s="1868"/>
      <c r="H12" s="1869">
        <f>F12-D12</f>
        <v>2.4000000000000004</v>
      </c>
      <c r="I12" s="1869"/>
      <c r="J12" s="1869"/>
      <c r="K12" s="1866">
        <v>18</v>
      </c>
      <c r="L12" s="1866"/>
      <c r="M12" s="1866"/>
      <c r="N12" s="1866">
        <v>3</v>
      </c>
      <c r="O12" s="1866"/>
      <c r="P12" s="1865">
        <f>+N12*H12</f>
        <v>7.2000000000000011</v>
      </c>
      <c r="Q12" s="1865"/>
      <c r="R12" s="1868">
        <v>23</v>
      </c>
      <c r="S12" s="1868"/>
      <c r="T12" s="1868"/>
      <c r="U12" s="1863">
        <f>+BC13</f>
        <v>30000</v>
      </c>
      <c r="V12" s="1863"/>
      <c r="W12" s="1863"/>
      <c r="X12" s="1864" t="s">
        <v>394</v>
      </c>
      <c r="Y12" s="1864"/>
      <c r="Z12" s="1864"/>
      <c r="AA12" s="9"/>
      <c r="AH12" s="1865">
        <f>+ROUND(RADIANS(R12),4)</f>
        <v>0.40139999999999998</v>
      </c>
      <c r="AI12" s="1865"/>
      <c r="AJ12" s="1865"/>
      <c r="AK12" s="1865">
        <f>+ROUND(TAN(AH12)*H12,5)</f>
        <v>1.01867</v>
      </c>
      <c r="AL12" s="1865"/>
      <c r="AM12" s="1865"/>
      <c r="AV12" s="39"/>
      <c r="AW12" s="5"/>
      <c r="AX12" s="41">
        <f>AZ11</f>
        <v>6</v>
      </c>
      <c r="AY12" s="24" t="s">
        <v>35</v>
      </c>
      <c r="AZ12" s="35">
        <v>7</v>
      </c>
      <c r="BA12" s="865">
        <f>AZ12-AX12</f>
        <v>1</v>
      </c>
      <c r="BB12" s="866"/>
      <c r="BC12" s="26">
        <f t="shared" si="1"/>
        <v>21600</v>
      </c>
      <c r="BD12" s="36">
        <f t="shared" si="2"/>
        <v>0.40873015873015878</v>
      </c>
      <c r="BE12" s="1677">
        <f t="shared" si="3"/>
        <v>1.8922692533803645E-5</v>
      </c>
      <c r="BF12" s="1678"/>
      <c r="BG12" s="1857" t="s">
        <v>407</v>
      </c>
      <c r="BH12" s="1680"/>
      <c r="BI12" s="11"/>
      <c r="BJ12" s="28">
        <f>SUM(BA$6:BA11)+(BA12/2)</f>
        <v>6.5</v>
      </c>
      <c r="BK12" s="29"/>
      <c r="BL12" s="871">
        <v>7</v>
      </c>
      <c r="BM12" s="871"/>
      <c r="BN12" s="1606">
        <v>12</v>
      </c>
      <c r="BO12" s="1607"/>
      <c r="BP12" s="40"/>
      <c r="BQ12" s="1059" t="s">
        <v>65</v>
      </c>
      <c r="BR12" s="1060"/>
      <c r="BS12" s="1060"/>
      <c r="BT12" s="1060"/>
      <c r="BU12" s="1061"/>
      <c r="BV12" s="1085" t="s">
        <v>66</v>
      </c>
      <c r="BW12" s="1086"/>
      <c r="BX12" s="1086"/>
      <c r="BY12" s="1086"/>
      <c r="BZ12" s="1087"/>
      <c r="CA12" s="1085" t="s">
        <v>67</v>
      </c>
      <c r="CB12" s="1086"/>
      <c r="CC12" s="1086"/>
      <c r="CD12" s="1086"/>
      <c r="CE12" s="1087"/>
    </row>
    <row r="13" spans="1:84" ht="23.25" customHeight="1">
      <c r="A13" s="6"/>
      <c r="B13" s="1866" t="s">
        <v>71</v>
      </c>
      <c r="C13" s="1866"/>
      <c r="D13" s="1867">
        <f>+F12</f>
        <v>8</v>
      </c>
      <c r="E13" s="1867"/>
      <c r="F13" s="1868">
        <v>20</v>
      </c>
      <c r="G13" s="1868"/>
      <c r="H13" s="1869">
        <f>F13-D13</f>
        <v>12</v>
      </c>
      <c r="I13" s="1869"/>
      <c r="J13" s="1869"/>
      <c r="K13" s="1866">
        <v>19</v>
      </c>
      <c r="L13" s="1866"/>
      <c r="M13" s="1866"/>
      <c r="N13" s="1866">
        <v>5</v>
      </c>
      <c r="O13" s="1866"/>
      <c r="P13" s="1865">
        <f>+N13*H13</f>
        <v>60</v>
      </c>
      <c r="Q13" s="1865"/>
      <c r="R13" s="1868">
        <v>25</v>
      </c>
      <c r="S13" s="1868"/>
      <c r="T13" s="1868"/>
      <c r="U13" s="1863">
        <f>+BC16</f>
        <v>27000</v>
      </c>
      <c r="V13" s="1863"/>
      <c r="W13" s="1863"/>
      <c r="X13" s="1864" t="s">
        <v>394</v>
      </c>
      <c r="Y13" s="1864"/>
      <c r="Z13" s="1864"/>
      <c r="AA13" s="9"/>
      <c r="AH13" s="1865">
        <f>+ROUND(RADIANS(R13),4)</f>
        <v>0.43630000000000002</v>
      </c>
      <c r="AI13" s="1865"/>
      <c r="AJ13" s="1865"/>
      <c r="AK13" s="1865">
        <f>+ROUND(TAN(AH13)*H13,5)</f>
        <v>5.5952200000000003</v>
      </c>
      <c r="AL13" s="1865"/>
      <c r="AM13" s="1865"/>
      <c r="AV13" s="42"/>
      <c r="AW13" s="5"/>
      <c r="AX13" s="41">
        <f>AZ12</f>
        <v>7</v>
      </c>
      <c r="AY13" s="24" t="s">
        <v>35</v>
      </c>
      <c r="AZ13" s="35">
        <v>8</v>
      </c>
      <c r="BA13" s="865">
        <f>AZ13-AX13</f>
        <v>1</v>
      </c>
      <c r="BB13" s="866"/>
      <c r="BC13" s="26">
        <f t="shared" si="1"/>
        <v>30000</v>
      </c>
      <c r="BD13" s="36">
        <f t="shared" si="2"/>
        <v>0.36904761904761907</v>
      </c>
      <c r="BE13" s="1677">
        <f t="shared" si="3"/>
        <v>1.2301587301587303E-5</v>
      </c>
      <c r="BF13" s="1678"/>
      <c r="BG13" s="1857" t="s">
        <v>407</v>
      </c>
      <c r="BH13" s="1680"/>
      <c r="BI13" s="11"/>
      <c r="BJ13" s="28">
        <f>SUM(BA$6:BA12)+(BA13/2)</f>
        <v>7.5</v>
      </c>
      <c r="BK13" s="29"/>
      <c r="BL13" s="871">
        <v>8</v>
      </c>
      <c r="BM13" s="871"/>
      <c r="BN13" s="1606">
        <v>19</v>
      </c>
      <c r="BO13" s="1607"/>
      <c r="BP13" s="40"/>
      <c r="BQ13" s="1059" t="s">
        <v>68</v>
      </c>
      <c r="BR13" s="1060"/>
      <c r="BS13" s="1060"/>
      <c r="BT13" s="1060"/>
      <c r="BU13" s="1061"/>
      <c r="BV13" s="1085" t="s">
        <v>69</v>
      </c>
      <c r="BW13" s="1086"/>
      <c r="BX13" s="1086"/>
      <c r="BY13" s="1086"/>
      <c r="BZ13" s="1087"/>
      <c r="CA13" s="1085" t="s">
        <v>70</v>
      </c>
      <c r="CB13" s="1086"/>
      <c r="CC13" s="1086"/>
      <c r="CD13" s="1086"/>
      <c r="CE13" s="1087"/>
    </row>
    <row r="14" spans="1:84" ht="23.25" customHeight="1">
      <c r="A14" s="6"/>
      <c r="B14" s="1866" t="s">
        <v>74</v>
      </c>
      <c r="C14" s="1866"/>
      <c r="D14" s="1867">
        <f>F13</f>
        <v>20</v>
      </c>
      <c r="E14" s="1867"/>
      <c r="F14" s="1868">
        <v>22</v>
      </c>
      <c r="G14" s="1868"/>
      <c r="H14" s="1869">
        <f>F14-D14</f>
        <v>2</v>
      </c>
      <c r="I14" s="1869"/>
      <c r="J14" s="1869"/>
      <c r="K14" s="1866">
        <v>20</v>
      </c>
      <c r="L14" s="1866"/>
      <c r="M14" s="1866"/>
      <c r="N14" s="1866">
        <v>10</v>
      </c>
      <c r="O14" s="1866"/>
      <c r="P14" s="1865">
        <f>+N14*H14</f>
        <v>20</v>
      </c>
      <c r="Q14" s="1865"/>
      <c r="R14" s="1868">
        <v>27</v>
      </c>
      <c r="S14" s="1868"/>
      <c r="T14" s="1868"/>
      <c r="U14" s="1863">
        <f>+BC26</f>
        <v>264000</v>
      </c>
      <c r="V14" s="1863"/>
      <c r="W14" s="1863"/>
      <c r="X14" s="1864"/>
      <c r="Y14" s="1864"/>
      <c r="Z14" s="1864"/>
      <c r="AA14" s="9"/>
      <c r="AH14" s="1865">
        <f>+ROUND(RADIANS(R14),4)</f>
        <v>0.47120000000000001</v>
      </c>
      <c r="AI14" s="1865"/>
      <c r="AJ14" s="1865"/>
      <c r="AK14" s="1865">
        <f>+ROUND(TAN(AH14)*H14,5)</f>
        <v>1.01895</v>
      </c>
      <c r="AL14" s="1865"/>
      <c r="AM14" s="1865"/>
      <c r="AV14" s="42"/>
      <c r="AW14" s="5"/>
      <c r="AX14" s="41">
        <f>AZ13</f>
        <v>8</v>
      </c>
      <c r="AY14" s="24" t="s">
        <v>35</v>
      </c>
      <c r="AZ14" s="35">
        <v>9</v>
      </c>
      <c r="BA14" s="865">
        <f>AZ14-AX14</f>
        <v>1</v>
      </c>
      <c r="BB14" s="866"/>
      <c r="BC14" s="26">
        <f t="shared" ref="BC14" si="5">300*(BN14+6)</f>
        <v>9900</v>
      </c>
      <c r="BD14" s="36">
        <f t="shared" si="2"/>
        <v>0.32936507936507936</v>
      </c>
      <c r="BE14" s="1677">
        <f t="shared" si="3"/>
        <v>3.3269199935866599E-5</v>
      </c>
      <c r="BF14" s="1678"/>
      <c r="BG14" s="1857" t="s">
        <v>71</v>
      </c>
      <c r="BH14" s="1680"/>
      <c r="BI14" s="11"/>
      <c r="BJ14" s="28">
        <f>SUM(BA$6:BA13)+(BA14/2)</f>
        <v>8.5</v>
      </c>
      <c r="BK14" s="29"/>
      <c r="BL14" s="871">
        <v>9</v>
      </c>
      <c r="BM14" s="871"/>
      <c r="BN14" s="1606">
        <v>27</v>
      </c>
      <c r="BO14" s="1607"/>
      <c r="BP14" s="40"/>
      <c r="BQ14" s="1059" t="s">
        <v>72</v>
      </c>
      <c r="BR14" s="1060"/>
      <c r="BS14" s="1060"/>
      <c r="BT14" s="1060"/>
      <c r="BU14" s="1061"/>
      <c r="BV14" s="1685" t="s">
        <v>73</v>
      </c>
      <c r="BW14" s="1686"/>
      <c r="BX14" s="1686"/>
      <c r="BY14" s="1686"/>
      <c r="BZ14" s="1687"/>
      <c r="CA14" s="1085"/>
      <c r="CB14" s="1086"/>
      <c r="CC14" s="1086"/>
      <c r="CD14" s="1086"/>
      <c r="CE14" s="1087"/>
    </row>
    <row r="15" spans="1:84" ht="23.25" customHeight="1">
      <c r="A15" s="6"/>
      <c r="B15" s="1866"/>
      <c r="C15" s="1866"/>
      <c r="D15" s="1867"/>
      <c r="E15" s="1867"/>
      <c r="F15" s="1868"/>
      <c r="G15" s="1868"/>
      <c r="H15" s="1869">
        <f>F15-D15</f>
        <v>0</v>
      </c>
      <c r="I15" s="1869"/>
      <c r="J15" s="1869"/>
      <c r="K15" s="1866"/>
      <c r="L15" s="1866"/>
      <c r="M15" s="1866"/>
      <c r="N15" s="1866"/>
      <c r="O15" s="1866"/>
      <c r="P15" s="1865"/>
      <c r="Q15" s="1865"/>
      <c r="R15" s="1868"/>
      <c r="S15" s="1868"/>
      <c r="T15" s="1868"/>
      <c r="U15" s="1863"/>
      <c r="V15" s="1863"/>
      <c r="W15" s="1863"/>
      <c r="X15" s="1864"/>
      <c r="Y15" s="1864"/>
      <c r="Z15" s="1864"/>
      <c r="AA15" s="9"/>
      <c r="AH15" s="1865">
        <f>+ROUND(RADIANS(R15),4)</f>
        <v>0</v>
      </c>
      <c r="AI15" s="1865"/>
      <c r="AJ15" s="1865"/>
      <c r="AK15" s="1865">
        <f>+ROUND(TAN(AH15)*H15,5)</f>
        <v>0</v>
      </c>
      <c r="AL15" s="1865"/>
      <c r="AM15" s="1865"/>
      <c r="AV15" s="42"/>
      <c r="AW15" s="5"/>
      <c r="AX15" s="41">
        <f>AZ14</f>
        <v>9</v>
      </c>
      <c r="AY15" s="24" t="s">
        <v>35</v>
      </c>
      <c r="AZ15" s="35">
        <v>10</v>
      </c>
      <c r="BA15" s="865">
        <f>AZ15-AX15</f>
        <v>1</v>
      </c>
      <c r="BB15" s="866"/>
      <c r="BC15" s="26">
        <f>500*(BN15+15)</f>
        <v>25000</v>
      </c>
      <c r="BD15" s="36">
        <f t="shared" si="2"/>
        <v>0.28968253968253971</v>
      </c>
      <c r="BE15" s="1677">
        <f t="shared" si="3"/>
        <v>1.1587301587301588E-5</v>
      </c>
      <c r="BF15" s="1678"/>
      <c r="BG15" s="1857" t="s">
        <v>71</v>
      </c>
      <c r="BH15" s="1680"/>
      <c r="BI15" s="11"/>
      <c r="BJ15" s="28">
        <f>SUM(BA$6:BA14)+(BA15/2)</f>
        <v>9.5</v>
      </c>
      <c r="BK15" s="29"/>
      <c r="BL15" s="871">
        <v>10</v>
      </c>
      <c r="BM15" s="871"/>
      <c r="BN15" s="1606">
        <v>35</v>
      </c>
      <c r="BO15" s="1607"/>
      <c r="BP15" s="40"/>
      <c r="BQ15" s="1059" t="s">
        <v>75</v>
      </c>
      <c r="BR15" s="1060"/>
      <c r="BS15" s="1060"/>
      <c r="BT15" s="1060"/>
      <c r="BU15" s="1061"/>
      <c r="BV15" s="1074"/>
      <c r="BW15" s="1075"/>
      <c r="BX15" s="1075"/>
      <c r="BY15" s="1075"/>
      <c r="BZ15" s="1076"/>
      <c r="CA15" s="1085" t="s">
        <v>76</v>
      </c>
      <c r="CB15" s="1086"/>
      <c r="CC15" s="1086"/>
      <c r="CD15" s="1086"/>
      <c r="CE15" s="1087"/>
    </row>
    <row r="16" spans="1:84" ht="23.25" customHeight="1">
      <c r="A16" s="6"/>
      <c r="B16" s="858" t="s">
        <v>77</v>
      </c>
      <c r="C16" s="858"/>
      <c r="D16" s="858"/>
      <c r="E16" s="858"/>
      <c r="F16" s="858"/>
      <c r="G16" s="858"/>
      <c r="H16" s="1184">
        <f>SUM(H11:J15)</f>
        <v>16.899999999999999</v>
      </c>
      <c r="I16" s="1184"/>
      <c r="J16" s="1184"/>
      <c r="K16" s="1185"/>
      <c r="L16" s="1185"/>
      <c r="M16" s="1185"/>
      <c r="N16" s="1186"/>
      <c r="O16" s="1186"/>
      <c r="P16" s="1187">
        <f>SUM(P11:Q15)</f>
        <v>88.7</v>
      </c>
      <c r="Q16" s="1187"/>
      <c r="R16" s="1862"/>
      <c r="S16" s="1862"/>
      <c r="T16" s="1862"/>
      <c r="U16" s="955"/>
      <c r="V16" s="955"/>
      <c r="W16" s="955"/>
      <c r="X16" s="955"/>
      <c r="Y16" s="955"/>
      <c r="Z16" s="955"/>
      <c r="AA16" s="43"/>
      <c r="AD16" s="145" t="s">
        <v>403</v>
      </c>
      <c r="AH16" s="1860"/>
      <c r="AI16" s="1860"/>
      <c r="AJ16" s="1860"/>
      <c r="AK16" s="1861">
        <f>SUM(AK11:AK15)</f>
        <v>7.8450400000000009</v>
      </c>
      <c r="AL16" s="1861"/>
      <c r="AM16" s="1861"/>
      <c r="AV16" s="5"/>
      <c r="AW16" s="5"/>
      <c r="AX16" s="41">
        <f t="shared" ref="AX16:AX31" si="6">AZ15</f>
        <v>10</v>
      </c>
      <c r="AY16" s="24" t="s">
        <v>35</v>
      </c>
      <c r="AZ16" s="35">
        <v>11</v>
      </c>
      <c r="BA16" s="865">
        <f t="shared" ref="BA16:BA32" si="7">AZ16-AX16</f>
        <v>1</v>
      </c>
      <c r="BB16" s="866"/>
      <c r="BC16" s="26">
        <f t="shared" ref="BC16:BC25" si="8">500*(BN16+15)</f>
        <v>27000</v>
      </c>
      <c r="BD16" s="36">
        <f t="shared" si="2"/>
        <v>0.25</v>
      </c>
      <c r="BE16" s="1677">
        <f t="shared" si="3"/>
        <v>9.2592592592592591E-6</v>
      </c>
      <c r="BF16" s="1678"/>
      <c r="BG16" s="1857" t="s">
        <v>71</v>
      </c>
      <c r="BH16" s="1680"/>
      <c r="BI16" s="11"/>
      <c r="BJ16" s="28">
        <f>SUM(BA$6:BA15)+(BA16/2)</f>
        <v>10.5</v>
      </c>
      <c r="BK16" s="44"/>
      <c r="BL16" s="871">
        <v>11</v>
      </c>
      <c r="BM16" s="871"/>
      <c r="BN16" s="1606">
        <v>39</v>
      </c>
      <c r="BO16" s="1607"/>
      <c r="BP16" s="45"/>
      <c r="BQ16" s="1149" t="s">
        <v>78</v>
      </c>
      <c r="BR16" s="1150"/>
      <c r="BS16" s="1150"/>
      <c r="BT16" s="1150"/>
      <c r="BU16" s="1151"/>
      <c r="BV16" s="1122" t="s">
        <v>79</v>
      </c>
      <c r="BW16" s="1123"/>
      <c r="BX16" s="1123"/>
      <c r="BY16" s="1123"/>
      <c r="BZ16" s="1124"/>
      <c r="CA16" s="1682" t="s">
        <v>80</v>
      </c>
      <c r="CB16" s="1683"/>
      <c r="CC16" s="1683"/>
      <c r="CD16" s="1683"/>
      <c r="CE16" s="1684"/>
    </row>
    <row r="17" spans="1:83" ht="18" customHeight="1">
      <c r="A17" s="6"/>
      <c r="B17" s="46"/>
      <c r="C17" s="46"/>
      <c r="D17" s="47"/>
      <c r="E17" s="47"/>
      <c r="F17" s="46"/>
      <c r="G17" s="47"/>
      <c r="H17" s="47"/>
      <c r="I17" s="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50"/>
      <c r="Z17" s="50"/>
      <c r="AA17" s="51"/>
      <c r="AB17" s="9"/>
      <c r="AC17" s="2"/>
      <c r="AD17" s="145" t="s">
        <v>404</v>
      </c>
      <c r="AH17" s="1860" t="s">
        <v>81</v>
      </c>
      <c r="AI17" s="1860"/>
      <c r="AJ17" s="1860"/>
      <c r="AK17" s="1861">
        <f>+AK16/H16</f>
        <v>0.46420355029585808</v>
      </c>
      <c r="AL17" s="1861"/>
      <c r="AM17" s="1861"/>
      <c r="AV17" s="5"/>
      <c r="AW17" s="5"/>
      <c r="AX17" s="41">
        <f t="shared" si="6"/>
        <v>11</v>
      </c>
      <c r="AY17" s="24" t="s">
        <v>35</v>
      </c>
      <c r="AZ17" s="35">
        <v>12</v>
      </c>
      <c r="BA17" s="865">
        <f t="shared" si="7"/>
        <v>1</v>
      </c>
      <c r="BB17" s="866"/>
      <c r="BC17" s="26">
        <f t="shared" si="8"/>
        <v>30500</v>
      </c>
      <c r="BD17" s="36">
        <f t="shared" si="2"/>
        <v>0.21031746031746032</v>
      </c>
      <c r="BE17" s="1677">
        <f t="shared" si="3"/>
        <v>6.895654436638043E-6</v>
      </c>
      <c r="BF17" s="1678"/>
      <c r="BG17" s="1857" t="s">
        <v>71</v>
      </c>
      <c r="BH17" s="1680"/>
      <c r="BI17" s="11"/>
      <c r="BJ17" s="28">
        <f>SUM(BA$6:BA16)+(BA17/2)</f>
        <v>11.5</v>
      </c>
      <c r="BK17" s="52"/>
      <c r="BL17" s="871">
        <v>12</v>
      </c>
      <c r="BM17" s="871"/>
      <c r="BN17" s="1606">
        <v>46</v>
      </c>
      <c r="BO17" s="1607"/>
      <c r="BP17" s="40"/>
      <c r="BQ17" s="1155"/>
      <c r="BR17" s="1156"/>
      <c r="BS17" s="1156"/>
      <c r="BT17" s="1156"/>
      <c r="BU17" s="1157"/>
      <c r="BV17" s="1192" t="s">
        <v>82</v>
      </c>
      <c r="BW17" s="1191"/>
      <c r="BX17" s="1191"/>
      <c r="BY17" s="1191"/>
      <c r="BZ17" s="1193"/>
      <c r="CA17" s="1192" t="s">
        <v>83</v>
      </c>
      <c r="CB17" s="1191"/>
      <c r="CC17" s="1191"/>
      <c r="CD17" s="1191"/>
      <c r="CE17" s="1193"/>
    </row>
    <row r="18" spans="1:83" ht="17.25" customHeight="1">
      <c r="A18" s="6"/>
      <c r="B18" s="53"/>
      <c r="C18" s="53"/>
      <c r="D18" s="54"/>
      <c r="E18" s="54"/>
      <c r="F18" s="53"/>
      <c r="G18" s="54"/>
      <c r="H18" s="54"/>
      <c r="I18" s="8"/>
      <c r="J18" s="46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46"/>
      <c r="Y18" s="56"/>
      <c r="Z18" s="56"/>
      <c r="AA18" s="56"/>
      <c r="AB18" s="9"/>
      <c r="AC18" s="2"/>
      <c r="AH18" s="1860" t="s">
        <v>84</v>
      </c>
      <c r="AI18" s="1860"/>
      <c r="AJ18" s="1860"/>
      <c r="AK18" s="828">
        <f>+ATAN(AK17)</f>
        <v>0.43460261956731716</v>
      </c>
      <c r="AL18" s="828"/>
      <c r="AM18" s="828"/>
      <c r="AV18" s="5"/>
      <c r="AW18" s="5"/>
      <c r="AX18" s="41">
        <f t="shared" si="6"/>
        <v>12</v>
      </c>
      <c r="AY18" s="24" t="s">
        <v>35</v>
      </c>
      <c r="AZ18" s="35">
        <v>13</v>
      </c>
      <c r="BA18" s="865">
        <f t="shared" si="7"/>
        <v>1</v>
      </c>
      <c r="BB18" s="866"/>
      <c r="BC18" s="26">
        <f t="shared" si="8"/>
        <v>31000</v>
      </c>
      <c r="BD18" s="36">
        <f t="shared" si="2"/>
        <v>0.17063492063492061</v>
      </c>
      <c r="BE18" s="1677">
        <f t="shared" si="3"/>
        <v>5.5043522785458264E-6</v>
      </c>
      <c r="BF18" s="1678"/>
      <c r="BG18" s="1857" t="s">
        <v>71</v>
      </c>
      <c r="BH18" s="1680"/>
      <c r="BJ18" s="28">
        <f>SUM(BA$6:BA17)+(BA18/2)</f>
        <v>12.5</v>
      </c>
      <c r="BK18" s="57"/>
      <c r="BL18" s="871">
        <v>13</v>
      </c>
      <c r="BM18" s="871"/>
      <c r="BN18" s="1606">
        <v>47</v>
      </c>
      <c r="BO18" s="1607"/>
      <c r="BQ18" s="1059" t="s">
        <v>85</v>
      </c>
      <c r="BR18" s="1060"/>
      <c r="BS18" s="1060"/>
      <c r="BT18" s="1060"/>
      <c r="BU18" s="1061"/>
      <c r="BV18" s="1199" t="s">
        <v>86</v>
      </c>
      <c r="BW18" s="1200"/>
      <c r="BX18" s="1200"/>
      <c r="BY18" s="1200"/>
      <c r="BZ18" s="1201"/>
      <c r="CA18" s="1119" t="s">
        <v>87</v>
      </c>
      <c r="CB18" s="1120"/>
      <c r="CC18" s="1120"/>
      <c r="CD18" s="1120"/>
      <c r="CE18" s="1121"/>
    </row>
    <row r="19" spans="1:83" ht="17.25" customHeight="1">
      <c r="A19" s="6"/>
      <c r="B19" s="53" t="s">
        <v>88</v>
      </c>
      <c r="C19" s="53"/>
      <c r="D19" s="54"/>
      <c r="E19" s="54"/>
      <c r="F19" s="53"/>
      <c r="G19" s="54"/>
      <c r="H19" s="54"/>
      <c r="I19" s="8" t="s">
        <v>89</v>
      </c>
      <c r="J19" s="46"/>
      <c r="K19" s="55" t="str">
        <f>P16&amp;" / ("&amp;H16&amp;")"</f>
        <v>88.7 / (16.9)</v>
      </c>
      <c r="L19" s="46"/>
      <c r="M19" s="46"/>
      <c r="N19" s="9"/>
      <c r="O19" s="9"/>
      <c r="P19" s="9"/>
      <c r="Q19" s="9"/>
      <c r="R19" s="9"/>
      <c r="S19" s="9"/>
      <c r="T19" s="9"/>
      <c r="U19" s="9"/>
      <c r="V19" s="9"/>
      <c r="W19" s="9"/>
      <c r="X19" s="58" t="s">
        <v>90</v>
      </c>
      <c r="Y19" s="954">
        <f>+ROUND(P16/(H16),2)</f>
        <v>5.25</v>
      </c>
      <c r="Z19" s="954"/>
      <c r="AA19" s="954"/>
      <c r="AB19" s="9"/>
      <c r="AC19" s="2"/>
      <c r="AH19" s="1859" t="s">
        <v>91</v>
      </c>
      <c r="AI19" s="1859"/>
      <c r="AJ19" s="1859"/>
      <c r="AK19" s="795">
        <f>+DEGREES(AK18)</f>
        <v>24.900895866537002</v>
      </c>
      <c r="AL19" s="795"/>
      <c r="AM19" s="795"/>
      <c r="AV19" s="5"/>
      <c r="AW19" s="5"/>
      <c r="AX19" s="41">
        <f t="shared" si="6"/>
        <v>13</v>
      </c>
      <c r="AY19" s="24" t="s">
        <v>35</v>
      </c>
      <c r="AZ19" s="35">
        <v>14</v>
      </c>
      <c r="BA19" s="865">
        <f t="shared" si="7"/>
        <v>1</v>
      </c>
      <c r="BB19" s="866"/>
      <c r="BC19" s="26">
        <f t="shared" si="8"/>
        <v>33000</v>
      </c>
      <c r="BD19" s="36">
        <f t="shared" si="2"/>
        <v>0.13095238095238101</v>
      </c>
      <c r="BE19" s="1677">
        <f t="shared" si="3"/>
        <v>3.9682539682539698E-6</v>
      </c>
      <c r="BF19" s="1678"/>
      <c r="BG19" s="1857" t="s">
        <v>71</v>
      </c>
      <c r="BH19" s="1680"/>
      <c r="BJ19" s="28">
        <f>SUM(BA$6:BA18)+(BA19/2)</f>
        <v>13.5</v>
      </c>
      <c r="BK19" s="57"/>
      <c r="BL19" s="871">
        <v>14</v>
      </c>
      <c r="BM19" s="871"/>
      <c r="BN19" s="1606">
        <v>51</v>
      </c>
      <c r="BO19" s="1607"/>
      <c r="BQ19" s="1059"/>
      <c r="BR19" s="1060"/>
      <c r="BS19" s="1060"/>
      <c r="BT19" s="1060"/>
      <c r="BU19" s="1061"/>
      <c r="BV19" s="1074" t="s">
        <v>92</v>
      </c>
      <c r="BW19" s="1075"/>
      <c r="BX19" s="1075"/>
      <c r="BY19" s="1075"/>
      <c r="BZ19" s="1076"/>
      <c r="CA19" s="1074" t="s">
        <v>93</v>
      </c>
      <c r="CB19" s="1075"/>
      <c r="CC19" s="1075"/>
      <c r="CD19" s="1075"/>
      <c r="CE19" s="1076"/>
    </row>
    <row r="20" spans="1:83" ht="16.5" customHeight="1">
      <c r="A20" s="6"/>
      <c r="AH20" s="53"/>
      <c r="AI20" s="53"/>
      <c r="AJ20" s="54"/>
      <c r="AK20" s="54"/>
      <c r="AL20" s="53"/>
      <c r="AM20" s="54"/>
      <c r="AN20" s="54"/>
      <c r="AO20" s="8"/>
      <c r="AP20" s="46"/>
      <c r="AQ20" s="55"/>
      <c r="AR20" s="46"/>
      <c r="AS20" s="46"/>
      <c r="AT20" s="9"/>
      <c r="AU20" s="9"/>
      <c r="AV20" s="9"/>
      <c r="AW20" s="9"/>
      <c r="AX20" s="41">
        <f t="shared" si="6"/>
        <v>14</v>
      </c>
      <c r="AY20" s="24" t="s">
        <v>35</v>
      </c>
      <c r="AZ20" s="35">
        <v>15</v>
      </c>
      <c r="BA20" s="865">
        <f t="shared" si="7"/>
        <v>1</v>
      </c>
      <c r="BB20" s="866"/>
      <c r="BC20" s="26">
        <f t="shared" si="8"/>
        <v>36000</v>
      </c>
      <c r="BD20" s="36">
        <f t="shared" si="2"/>
        <v>9.126984126984132E-2</v>
      </c>
      <c r="BE20" s="1677">
        <f t="shared" si="3"/>
        <v>2.5352733686067035E-6</v>
      </c>
      <c r="BF20" s="1678"/>
      <c r="BG20" s="1857" t="s">
        <v>71</v>
      </c>
      <c r="BH20" s="1680"/>
      <c r="BJ20" s="28">
        <f>SUM(BA$6:BA19)+(BA20/2)</f>
        <v>14.5</v>
      </c>
      <c r="BK20" s="57"/>
      <c r="BL20" s="871">
        <v>15</v>
      </c>
      <c r="BM20" s="871"/>
      <c r="BN20" s="1606">
        <v>57</v>
      </c>
      <c r="BO20" s="1607"/>
      <c r="BQ20" s="1150"/>
      <c r="BR20" s="1150"/>
      <c r="BS20" s="1150"/>
      <c r="BT20" s="1150"/>
      <c r="BU20" s="1150"/>
      <c r="BV20" s="1681"/>
      <c r="BW20" s="1681"/>
      <c r="BX20" s="1681"/>
      <c r="BY20" s="1681"/>
      <c r="BZ20" s="1681"/>
      <c r="CA20" s="1150"/>
      <c r="CB20" s="1150"/>
      <c r="CC20" s="1150"/>
      <c r="CD20" s="1150"/>
      <c r="CE20" s="1150"/>
    </row>
    <row r="21" spans="1:83" ht="17.25" customHeight="1">
      <c r="A21" s="6"/>
      <c r="B21" s="53" t="s">
        <v>94</v>
      </c>
      <c r="C21" s="53"/>
      <c r="D21" s="54"/>
      <c r="E21" s="54"/>
      <c r="F21" s="53"/>
      <c r="G21" s="54"/>
      <c r="H21" s="54"/>
      <c r="I21" s="8"/>
      <c r="J21" s="46"/>
      <c r="K21" s="59" t="str">
        <f>"DEGREE(" &amp; BD20 &amp; ") "</f>
        <v xml:space="preserve">DEGREE(0.0912698412698413) </v>
      </c>
      <c r="L21" s="60"/>
      <c r="M21" s="60"/>
      <c r="N21" s="61"/>
      <c r="O21" s="61"/>
      <c r="P21" s="61"/>
      <c r="Q21" s="9"/>
      <c r="R21" s="9"/>
      <c r="S21" s="9"/>
      <c r="T21" s="9"/>
      <c r="U21" s="9"/>
      <c r="V21" s="9"/>
      <c r="W21" s="9"/>
      <c r="X21" s="58" t="s">
        <v>90</v>
      </c>
      <c r="Y21" s="954">
        <f>ROUND(DEGREES(AK18),2)</f>
        <v>24.9</v>
      </c>
      <c r="Z21" s="954"/>
      <c r="AA21" s="954"/>
      <c r="AB21" s="62" t="s">
        <v>95</v>
      </c>
      <c r="AC21" s="2"/>
      <c r="AV21" s="5"/>
      <c r="AW21" s="5"/>
      <c r="AX21" s="41">
        <f t="shared" si="6"/>
        <v>15</v>
      </c>
      <c r="AY21" s="24" t="s">
        <v>35</v>
      </c>
      <c r="AZ21" s="35">
        <v>16</v>
      </c>
      <c r="BA21" s="865">
        <f t="shared" si="7"/>
        <v>1</v>
      </c>
      <c r="BB21" s="866"/>
      <c r="BC21" s="26">
        <f t="shared" si="8"/>
        <v>49000</v>
      </c>
      <c r="BD21" s="36">
        <f t="shared" si="2"/>
        <v>5.1587301587301626E-2</v>
      </c>
      <c r="BE21" s="1677">
        <f t="shared" si="3"/>
        <v>1.0528020732102373E-6</v>
      </c>
      <c r="BF21" s="1678"/>
      <c r="BG21" s="1857" t="s">
        <v>71</v>
      </c>
      <c r="BH21" s="1680"/>
      <c r="BJ21" s="28">
        <f>SUM(BA$6:BA20)+(BA21/2)</f>
        <v>15.5</v>
      </c>
      <c r="BK21" s="57"/>
      <c r="BL21" s="871">
        <v>16</v>
      </c>
      <c r="BM21" s="871"/>
      <c r="BN21" s="1606">
        <v>83</v>
      </c>
      <c r="BO21" s="1607"/>
      <c r="BQ21" s="1153"/>
      <c r="BR21" s="1153"/>
      <c r="BS21" s="1153"/>
      <c r="BT21" s="1153"/>
      <c r="BU21" s="1153"/>
      <c r="BV21" s="1063"/>
      <c r="BW21" s="1063"/>
      <c r="BX21" s="1063"/>
      <c r="BY21" s="1063"/>
      <c r="BZ21" s="1063"/>
      <c r="CA21" s="1191"/>
      <c r="CB21" s="1191"/>
      <c r="CC21" s="1191"/>
      <c r="CD21" s="1191"/>
      <c r="CE21" s="1191"/>
    </row>
    <row r="22" spans="1:83" ht="17.25" customHeight="1">
      <c r="A22" s="6"/>
      <c r="B22" s="8"/>
      <c r="C22" s="55"/>
      <c r="D22" s="8"/>
      <c r="E22" s="8"/>
      <c r="F22" s="63"/>
      <c r="G22" s="8"/>
      <c r="H22" s="8"/>
      <c r="I22" s="8"/>
      <c r="J22" s="46"/>
      <c r="K22" s="55"/>
      <c r="L22" s="46"/>
      <c r="M22" s="4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8"/>
      <c r="Z22" s="46"/>
      <c r="AA22" s="46"/>
      <c r="AB22" s="46"/>
      <c r="AC22" s="9"/>
      <c r="AV22" s="5"/>
      <c r="AW22" s="5"/>
      <c r="AX22" s="41">
        <f t="shared" si="6"/>
        <v>16</v>
      </c>
      <c r="AY22" s="24" t="s">
        <v>35</v>
      </c>
      <c r="AZ22" s="35">
        <v>17</v>
      </c>
      <c r="BA22" s="865">
        <f t="shared" si="7"/>
        <v>1</v>
      </c>
      <c r="BB22" s="866"/>
      <c r="BC22" s="26">
        <f t="shared" si="8"/>
        <v>54000</v>
      </c>
      <c r="BD22" s="36">
        <f t="shared" si="2"/>
        <v>1.1904761904761937E-2</v>
      </c>
      <c r="BE22" s="1677">
        <f t="shared" si="3"/>
        <v>2.2045855379188774E-7</v>
      </c>
      <c r="BF22" s="1678"/>
      <c r="BG22" s="1857" t="s">
        <v>71</v>
      </c>
      <c r="BH22" s="1680"/>
      <c r="BJ22" s="28">
        <f>SUM(BA$6:BA21)+(BA22/2)</f>
        <v>16.5</v>
      </c>
      <c r="BK22" s="57"/>
      <c r="BL22" s="871">
        <v>17</v>
      </c>
      <c r="BM22" s="871"/>
      <c r="BN22" s="1606">
        <v>93</v>
      </c>
      <c r="BO22" s="1607"/>
      <c r="BQ22" s="1153"/>
      <c r="BR22" s="1153"/>
      <c r="BS22" s="1153"/>
      <c r="BT22" s="1153"/>
      <c r="BU22" s="1153"/>
      <c r="BV22" s="1203"/>
      <c r="BW22" s="1203"/>
      <c r="BX22" s="1203"/>
      <c r="BY22" s="1203"/>
      <c r="BZ22" s="1203"/>
      <c r="CA22" s="1063"/>
      <c r="CB22" s="1063"/>
      <c r="CC22" s="1063"/>
      <c r="CD22" s="1063"/>
      <c r="CE22" s="1063"/>
    </row>
    <row r="23" spans="1:83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X23" s="41">
        <f t="shared" si="6"/>
        <v>17</v>
      </c>
      <c r="AY23" s="24" t="s">
        <v>35</v>
      </c>
      <c r="AZ23" s="35">
        <v>18</v>
      </c>
      <c r="BA23" s="865">
        <f t="shared" si="7"/>
        <v>1</v>
      </c>
      <c r="BB23" s="866"/>
      <c r="BC23" s="26">
        <f t="shared" si="8"/>
        <v>70000</v>
      </c>
      <c r="BD23" s="36">
        <f t="shared" si="2"/>
        <v>-2.7777777777777679E-2</v>
      </c>
      <c r="BE23" s="1677">
        <f t="shared" si="3"/>
        <v>0</v>
      </c>
      <c r="BF23" s="1678"/>
      <c r="BG23" s="1857" t="s">
        <v>71</v>
      </c>
      <c r="BH23" s="1680"/>
      <c r="BJ23" s="28">
        <f>SUM(BA$6:BA22)+(BA23/2)</f>
        <v>17.5</v>
      </c>
      <c r="BK23" s="57"/>
      <c r="BL23" s="871">
        <v>18</v>
      </c>
      <c r="BM23" s="871"/>
      <c r="BN23" s="1606">
        <v>125</v>
      </c>
      <c r="BO23" s="1607"/>
      <c r="BQ23" s="1153"/>
      <c r="BR23" s="1153"/>
      <c r="BS23" s="1153"/>
      <c r="BT23" s="1153"/>
      <c r="BU23" s="1153"/>
      <c r="BV23" s="1063"/>
      <c r="BW23" s="1063"/>
      <c r="BX23" s="1063"/>
      <c r="BY23" s="1063"/>
      <c r="BZ23" s="1063"/>
      <c r="CA23" s="1063"/>
      <c r="CB23" s="1063"/>
      <c r="CC23" s="1063"/>
      <c r="CD23" s="1063"/>
      <c r="CE23" s="1063"/>
    </row>
    <row r="24" spans="1:83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X24" s="41">
        <f t="shared" si="6"/>
        <v>18</v>
      </c>
      <c r="AY24" s="24" t="s">
        <v>35</v>
      </c>
      <c r="AZ24" s="35">
        <v>19</v>
      </c>
      <c r="BA24" s="865">
        <f t="shared" si="7"/>
        <v>1</v>
      </c>
      <c r="BB24" s="866"/>
      <c r="BC24" s="26">
        <f t="shared" si="8"/>
        <v>70000</v>
      </c>
      <c r="BD24" s="36">
        <f t="shared" si="2"/>
        <v>-6.7460317460317373E-2</v>
      </c>
      <c r="BE24" s="1677">
        <f t="shared" si="3"/>
        <v>0</v>
      </c>
      <c r="BF24" s="1678"/>
      <c r="BG24" s="1857" t="s">
        <v>71</v>
      </c>
      <c r="BH24" s="1680"/>
      <c r="BJ24" s="28">
        <f>SUM(BA$6:BA23)+(BA24/2)</f>
        <v>18.5</v>
      </c>
      <c r="BK24" s="57"/>
      <c r="BL24" s="871">
        <v>19</v>
      </c>
      <c r="BM24" s="871"/>
      <c r="BN24" s="1858">
        <v>125</v>
      </c>
      <c r="BO24" s="1851"/>
      <c r="BQ24" s="1153"/>
      <c r="BR24" s="1153"/>
      <c r="BS24" s="1153"/>
      <c r="BT24" s="1153"/>
      <c r="BU24" s="1153"/>
      <c r="BV24" s="1191"/>
      <c r="BW24" s="1191"/>
      <c r="BX24" s="1191"/>
      <c r="BY24" s="1191"/>
      <c r="BZ24" s="1191"/>
      <c r="CA24" s="1063"/>
      <c r="CB24" s="1063"/>
      <c r="CC24" s="1063"/>
      <c r="CD24" s="1063"/>
      <c r="CE24" s="1063"/>
    </row>
    <row r="25" spans="1:83" ht="28.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X25" s="41">
        <f t="shared" si="6"/>
        <v>19</v>
      </c>
      <c r="AY25" s="24" t="s">
        <v>35</v>
      </c>
      <c r="AZ25" s="35"/>
      <c r="BA25" s="865">
        <f t="shared" si="7"/>
        <v>-19</v>
      </c>
      <c r="BB25" s="866"/>
      <c r="BC25" s="26">
        <f t="shared" si="8"/>
        <v>114500</v>
      </c>
      <c r="BD25" s="36">
        <f t="shared" si="2"/>
        <v>0.28968253968253971</v>
      </c>
      <c r="BE25" s="1677">
        <f t="shared" si="3"/>
        <v>-4.8069591737714015E-5</v>
      </c>
      <c r="BF25" s="1678"/>
      <c r="BG25" s="1857" t="s">
        <v>71</v>
      </c>
      <c r="BH25" s="1680"/>
      <c r="BJ25" s="28">
        <f>SUM($BA$6:BA24)+(BA25/2)</f>
        <v>9.5</v>
      </c>
      <c r="BK25" s="57"/>
      <c r="BL25" s="871">
        <v>20</v>
      </c>
      <c r="BM25" s="871"/>
      <c r="BN25" s="1851">
        <v>214</v>
      </c>
      <c r="BO25" s="1851"/>
      <c r="BQ25" s="1153"/>
      <c r="BR25" s="1153"/>
      <c r="BS25" s="1153"/>
      <c r="BT25" s="1153"/>
      <c r="BU25" s="1153"/>
      <c r="BV25" s="1063"/>
      <c r="BW25" s="1063"/>
      <c r="BX25" s="1063"/>
      <c r="BY25" s="1063"/>
      <c r="BZ25" s="1063"/>
      <c r="CA25" s="1063"/>
      <c r="CB25" s="1063"/>
      <c r="CC25" s="1063"/>
      <c r="CD25" s="1063"/>
      <c r="CE25" s="1063"/>
    </row>
    <row r="26" spans="1:83" ht="15.7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X26" s="41">
        <f t="shared" si="6"/>
        <v>0</v>
      </c>
      <c r="AY26" s="24" t="s">
        <v>35</v>
      </c>
      <c r="AZ26" s="35"/>
      <c r="BA26" s="865">
        <f t="shared" si="7"/>
        <v>0</v>
      </c>
      <c r="BB26" s="866"/>
      <c r="BC26" s="26">
        <f>1200*(BN26+6)</f>
        <v>264000</v>
      </c>
      <c r="BD26" s="36">
        <f t="shared" si="2"/>
        <v>0.1</v>
      </c>
      <c r="BE26" s="1677">
        <f t="shared" si="3"/>
        <v>0</v>
      </c>
      <c r="BF26" s="1678"/>
      <c r="BG26" s="1857" t="s">
        <v>74</v>
      </c>
      <c r="BH26" s="1680"/>
      <c r="BJ26" s="28">
        <f>SUM($BA$6:BA25)+(BA26/2)</f>
        <v>0</v>
      </c>
      <c r="BK26" s="57"/>
      <c r="BL26" s="871">
        <v>21</v>
      </c>
      <c r="BM26" s="871"/>
      <c r="BN26" s="1851">
        <v>214</v>
      </c>
      <c r="BO26" s="1851"/>
      <c r="BQ26" s="1153"/>
      <c r="BR26" s="1153"/>
      <c r="BS26" s="1153"/>
      <c r="BT26" s="1153"/>
      <c r="BU26" s="1153"/>
      <c r="BV26" s="1063"/>
      <c r="BW26" s="1063"/>
      <c r="BX26" s="1063"/>
      <c r="BY26" s="1063"/>
      <c r="BZ26" s="1063"/>
      <c r="CA26" s="1063"/>
      <c r="CB26" s="1063"/>
      <c r="CC26" s="1063"/>
      <c r="CD26" s="1063"/>
      <c r="CE26" s="1063"/>
    </row>
    <row r="27" spans="1:83" ht="15.7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X27" s="41">
        <f t="shared" si="6"/>
        <v>0</v>
      </c>
      <c r="AY27" s="24" t="s">
        <v>35</v>
      </c>
      <c r="AZ27" s="35"/>
      <c r="BA27" s="865">
        <f t="shared" si="7"/>
        <v>0</v>
      </c>
      <c r="BB27" s="866"/>
      <c r="BC27" s="26">
        <f>1200*(BN27+6)</f>
        <v>264000</v>
      </c>
      <c r="BD27" s="36">
        <f t="shared" si="2"/>
        <v>0.1</v>
      </c>
      <c r="BE27" s="1677">
        <f t="shared" si="3"/>
        <v>0</v>
      </c>
      <c r="BF27" s="1678"/>
      <c r="BG27" s="1857" t="s">
        <v>74</v>
      </c>
      <c r="BH27" s="1680"/>
      <c r="BJ27" s="28">
        <f>SUM($BA$6:BA26)+(BA27/2)</f>
        <v>0</v>
      </c>
      <c r="BK27" s="57"/>
      <c r="BL27" s="871">
        <v>22</v>
      </c>
      <c r="BM27" s="871"/>
      <c r="BN27" s="1851">
        <v>214</v>
      </c>
      <c r="BO27" s="1851"/>
      <c r="BQ27" s="1153"/>
      <c r="BR27" s="1153"/>
      <c r="BS27" s="1153"/>
      <c r="BT27" s="1153"/>
      <c r="BU27" s="1153"/>
      <c r="BV27" s="1203"/>
      <c r="BW27" s="1203"/>
      <c r="BX27" s="1203"/>
      <c r="BY27" s="1203"/>
      <c r="BZ27" s="1203"/>
      <c r="CA27" s="1063"/>
      <c r="CB27" s="1063"/>
      <c r="CC27" s="1063"/>
      <c r="CD27" s="1063"/>
      <c r="CE27" s="1063"/>
    </row>
    <row r="28" spans="1:83" ht="17.2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X28" s="41">
        <f t="shared" si="6"/>
        <v>0</v>
      </c>
      <c r="AY28" s="24" t="s">
        <v>35</v>
      </c>
      <c r="AZ28" s="35"/>
      <c r="BA28" s="865">
        <f t="shared" si="7"/>
        <v>0</v>
      </c>
      <c r="BB28" s="866"/>
      <c r="BC28" s="26">
        <f t="shared" ref="BC28:BC32" si="9">1200*(BN28+6)</f>
        <v>7200</v>
      </c>
      <c r="BD28" s="36">
        <f t="shared" si="2"/>
        <v>0.1</v>
      </c>
      <c r="BE28" s="1677">
        <f t="shared" si="3"/>
        <v>0</v>
      </c>
      <c r="BF28" s="1678"/>
      <c r="BG28" s="1679"/>
      <c r="BH28" s="1680"/>
      <c r="BJ28" s="28">
        <f>SUM($BA$6:BA27)+(BA28/2)</f>
        <v>0</v>
      </c>
      <c r="BK28" s="57"/>
      <c r="BL28" s="871">
        <v>23</v>
      </c>
      <c r="BM28" s="871"/>
      <c r="BN28" s="1851"/>
      <c r="BO28" s="1851"/>
      <c r="BQ28" s="1153"/>
      <c r="BR28" s="1153"/>
      <c r="BS28" s="1153"/>
      <c r="BT28" s="1153"/>
      <c r="BU28" s="1153"/>
      <c r="BV28" s="1191"/>
      <c r="BW28" s="1191"/>
      <c r="BX28" s="1191"/>
      <c r="BY28" s="1191"/>
      <c r="BZ28" s="1191"/>
      <c r="CA28" s="1063"/>
      <c r="CB28" s="1063"/>
      <c r="CC28" s="1063"/>
      <c r="CD28" s="1063"/>
      <c r="CE28" s="1063"/>
    </row>
    <row r="29" spans="1:83" ht="17.2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X29" s="41">
        <f t="shared" si="6"/>
        <v>0</v>
      </c>
      <c r="AY29" s="24" t="s">
        <v>35</v>
      </c>
      <c r="AZ29" s="35"/>
      <c r="BA29" s="865">
        <f t="shared" si="7"/>
        <v>0</v>
      </c>
      <c r="BB29" s="866"/>
      <c r="BC29" s="26">
        <f t="shared" si="9"/>
        <v>7200</v>
      </c>
      <c r="BD29" s="36">
        <f t="shared" si="2"/>
        <v>0.1</v>
      </c>
      <c r="BE29" s="1677">
        <f t="shared" si="3"/>
        <v>0</v>
      </c>
      <c r="BF29" s="1678"/>
      <c r="BG29" s="1679"/>
      <c r="BH29" s="1680"/>
      <c r="BJ29" s="28">
        <f>SUM($BA$6:BA28)+(BA29/2)</f>
        <v>0</v>
      </c>
      <c r="BK29" s="57"/>
      <c r="BL29" s="871">
        <v>24</v>
      </c>
      <c r="BM29" s="871"/>
      <c r="BN29" s="1851"/>
      <c r="BO29" s="1851"/>
      <c r="BQ29" s="1153"/>
      <c r="BR29" s="1153"/>
      <c r="BS29" s="1153"/>
      <c r="BT29" s="1153"/>
      <c r="BU29" s="1153"/>
      <c r="BV29" s="1191"/>
      <c r="BW29" s="1191"/>
      <c r="BX29" s="1191"/>
      <c r="BY29" s="1191"/>
      <c r="BZ29" s="1191"/>
      <c r="CA29" s="1063"/>
      <c r="CB29" s="1063"/>
      <c r="CC29" s="1063"/>
      <c r="CD29" s="1063"/>
      <c r="CE29" s="1063"/>
    </row>
    <row r="30" spans="1:83" ht="30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X30" s="41">
        <f t="shared" si="6"/>
        <v>0</v>
      </c>
      <c r="AY30" s="24" t="s">
        <v>35</v>
      </c>
      <c r="AZ30" s="35"/>
      <c r="BA30" s="865">
        <f t="shared" si="7"/>
        <v>0</v>
      </c>
      <c r="BB30" s="866"/>
      <c r="BC30" s="26">
        <f t="shared" si="9"/>
        <v>7200</v>
      </c>
      <c r="BD30" s="36">
        <f t="shared" si="2"/>
        <v>0.1</v>
      </c>
      <c r="BE30" s="1677">
        <f t="shared" si="3"/>
        <v>0</v>
      </c>
      <c r="BF30" s="1678"/>
      <c r="BG30" s="1679"/>
      <c r="BH30" s="1680"/>
      <c r="BJ30" s="28">
        <f>SUM($BA$6:BA29)+(BA30/2)</f>
        <v>0</v>
      </c>
      <c r="BK30" s="57"/>
      <c r="BL30" s="871">
        <v>25</v>
      </c>
      <c r="BM30" s="871"/>
      <c r="BN30" s="1851"/>
      <c r="BO30" s="1851"/>
      <c r="BQ30" s="1153"/>
      <c r="BR30" s="1153"/>
      <c r="BS30" s="1153"/>
      <c r="BT30" s="1153"/>
      <c r="BU30" s="1153"/>
      <c r="BV30" s="1191"/>
      <c r="BW30" s="1191"/>
      <c r="BX30" s="1191"/>
      <c r="BY30" s="1191"/>
      <c r="BZ30" s="1191"/>
      <c r="CA30" s="1191"/>
      <c r="CB30" s="1191"/>
      <c r="CC30" s="1191"/>
      <c r="CD30" s="1191"/>
      <c r="CE30" s="1191"/>
    </row>
    <row r="31" spans="1:83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X31" s="41">
        <f t="shared" si="6"/>
        <v>0</v>
      </c>
      <c r="AY31" s="24" t="s">
        <v>35</v>
      </c>
      <c r="AZ31" s="35"/>
      <c r="BA31" s="865">
        <f t="shared" si="7"/>
        <v>0</v>
      </c>
      <c r="BB31" s="866"/>
      <c r="BC31" s="26">
        <f t="shared" si="9"/>
        <v>7200</v>
      </c>
      <c r="BD31" s="36">
        <f t="shared" si="2"/>
        <v>0.1</v>
      </c>
      <c r="BE31" s="1677">
        <f t="shared" si="3"/>
        <v>0</v>
      </c>
      <c r="BF31" s="1678"/>
      <c r="BG31" s="1679"/>
      <c r="BH31" s="1680"/>
      <c r="BJ31" s="28">
        <f>SUM($BA$6:BA30)+(BA31/2)</f>
        <v>0</v>
      </c>
      <c r="BK31" s="57"/>
      <c r="BL31" s="871">
        <v>26</v>
      </c>
      <c r="BM31" s="871"/>
      <c r="BN31" s="1851"/>
      <c r="BO31" s="1851"/>
      <c r="BQ31" s="1153"/>
      <c r="BR31" s="1153"/>
      <c r="BS31" s="1153"/>
      <c r="BT31" s="1153"/>
      <c r="BU31" s="1153"/>
      <c r="BV31" s="1191"/>
      <c r="BW31" s="1191"/>
      <c r="BX31" s="1191"/>
      <c r="BY31" s="1191"/>
      <c r="BZ31" s="1191"/>
      <c r="CA31" s="1063"/>
      <c r="CB31" s="1063"/>
      <c r="CC31" s="1063"/>
      <c r="CD31" s="1063"/>
      <c r="CE31" s="1063"/>
    </row>
    <row r="32" spans="1:83" ht="17.25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X32" s="64">
        <f>+AZ31</f>
        <v>0</v>
      </c>
      <c r="AY32" s="65" t="s">
        <v>96</v>
      </c>
      <c r="AZ32" s="66"/>
      <c r="BA32" s="1675">
        <f t="shared" si="7"/>
        <v>0</v>
      </c>
      <c r="BB32" s="1676"/>
      <c r="BC32" s="67">
        <f t="shared" si="9"/>
        <v>7200</v>
      </c>
      <c r="BD32" s="36">
        <f t="shared" si="2"/>
        <v>0.1</v>
      </c>
      <c r="BE32" s="1677">
        <f t="shared" si="3"/>
        <v>0</v>
      </c>
      <c r="BF32" s="1678"/>
      <c r="BG32" s="1679"/>
      <c r="BH32" s="1680"/>
      <c r="BJ32" s="28">
        <f>SUM($BA$6:BA31)+(BA32/2)</f>
        <v>0</v>
      </c>
      <c r="BK32" s="57"/>
      <c r="BL32" s="871">
        <v>27</v>
      </c>
      <c r="BM32" s="871"/>
      <c r="BN32" s="1851"/>
      <c r="BO32" s="1851"/>
      <c r="BQ32" s="1153"/>
      <c r="BR32" s="1153"/>
      <c r="BS32" s="1153"/>
      <c r="BT32" s="1153"/>
      <c r="BU32" s="1153"/>
      <c r="BV32" s="1191"/>
      <c r="BW32" s="1191"/>
      <c r="BX32" s="1191"/>
      <c r="BY32" s="1191"/>
      <c r="BZ32" s="1191"/>
      <c r="CA32" s="1191"/>
      <c r="CB32" s="1191"/>
      <c r="CC32" s="1191"/>
      <c r="CD32" s="1191"/>
      <c r="CE32" s="1191"/>
    </row>
    <row r="33" spans="1:71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X33" s="3"/>
      <c r="AY33" s="3"/>
      <c r="BA33" s="68"/>
      <c r="BB33" s="68"/>
      <c r="BC33" s="69"/>
      <c r="BD33" s="70"/>
      <c r="BE33" s="71" t="s">
        <v>97</v>
      </c>
      <c r="BF33" s="1673"/>
      <c r="BG33" s="1674"/>
      <c r="BH33" s="1671"/>
      <c r="BI33" s="1672"/>
      <c r="BR33" s="5"/>
      <c r="BS33" s="5"/>
    </row>
    <row r="34" spans="1:71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</row>
    <row r="35" spans="1:71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</row>
    <row r="36" spans="1:71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F36" s="72"/>
    </row>
    <row r="37" spans="1:71" ht="17.25" customHeight="1">
      <c r="A37" s="6"/>
      <c r="B37" s="73" t="s">
        <v>414</v>
      </c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</row>
    <row r="38" spans="1:71" ht="17.25" customHeight="1">
      <c r="A38" s="6"/>
      <c r="B38" s="73" t="s">
        <v>416</v>
      </c>
      <c r="C38" s="73"/>
      <c r="D38" s="74"/>
      <c r="E38" s="74"/>
      <c r="F38" s="75"/>
      <c r="G38" s="74"/>
      <c r="H38" s="74"/>
      <c r="I38" s="74"/>
      <c r="J38" s="76"/>
      <c r="K38" s="73"/>
      <c r="L38" s="76"/>
      <c r="M38" s="76"/>
      <c r="N38" s="77"/>
      <c r="O38" s="77"/>
      <c r="P38" s="77"/>
      <c r="Q38" s="77"/>
      <c r="R38" s="77"/>
      <c r="S38" s="77"/>
      <c r="T38" s="9"/>
      <c r="U38" s="9"/>
      <c r="V38" s="9"/>
      <c r="W38" s="9"/>
      <c r="X38" s="9"/>
      <c r="Y38" s="58"/>
      <c r="Z38" s="46"/>
      <c r="AA38" s="46"/>
      <c r="AB38" s="46"/>
      <c r="AC38" s="9"/>
    </row>
    <row r="39" spans="1:71" ht="17.25" customHeight="1">
      <c r="A39" s="6"/>
      <c r="B39" s="73" t="s">
        <v>415</v>
      </c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46"/>
      <c r="AC39" s="9"/>
    </row>
    <row r="40" spans="1:71" ht="17.25" customHeight="1">
      <c r="A40" s="6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46"/>
      <c r="AC40" s="9"/>
    </row>
    <row r="41" spans="1:71" ht="17.25" customHeight="1">
      <c r="A41" s="6"/>
      <c r="B41" s="74"/>
      <c r="C41" s="73"/>
      <c r="D41" s="74"/>
      <c r="E41" s="74"/>
      <c r="F41" s="75"/>
      <c r="G41" s="74"/>
      <c r="H41" s="74"/>
      <c r="I41" s="74"/>
      <c r="J41" s="76"/>
      <c r="K41" s="73"/>
      <c r="L41" s="76"/>
      <c r="M41" s="76"/>
      <c r="N41" s="77"/>
      <c r="O41" s="77"/>
      <c r="P41" s="77"/>
      <c r="Q41" s="77"/>
      <c r="R41" s="77"/>
      <c r="S41" s="77"/>
      <c r="T41" s="9"/>
      <c r="U41" s="9"/>
      <c r="V41" s="9"/>
      <c r="W41" s="9"/>
      <c r="X41" s="9"/>
      <c r="Y41" s="58"/>
      <c r="Z41" s="46"/>
      <c r="AA41" s="46"/>
      <c r="AB41" s="46"/>
      <c r="AC41" s="9"/>
      <c r="AX41" s="78"/>
    </row>
    <row r="42" spans="1:71" ht="17.25" customHeight="1">
      <c r="A42" s="6"/>
      <c r="B42" s="8"/>
      <c r="C42" s="55"/>
      <c r="D42" s="8"/>
      <c r="E42" s="8"/>
      <c r="F42" s="63"/>
      <c r="G42" s="8"/>
      <c r="H42" s="8"/>
      <c r="I42" s="8"/>
      <c r="J42" s="46"/>
      <c r="K42" s="55"/>
      <c r="L42" s="46"/>
      <c r="M42" s="4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58"/>
      <c r="Z42" s="46"/>
      <c r="AA42" s="46"/>
      <c r="AB42" s="46"/>
      <c r="AC42" s="9"/>
      <c r="AX42" s="79"/>
    </row>
    <row r="43" spans="1:71" ht="17.25" customHeight="1">
      <c r="A43" s="6"/>
      <c r="B43" s="7" t="s">
        <v>98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9"/>
    </row>
    <row r="44" spans="1:71" ht="17.25" customHeight="1">
      <c r="A44" s="6"/>
      <c r="B44" s="7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9"/>
    </row>
    <row r="45" spans="1:71" ht="17.25" customHeight="1">
      <c r="A45" s="6"/>
      <c r="B45" s="80" t="s">
        <v>99</v>
      </c>
      <c r="C45" s="81" t="s">
        <v>100</v>
      </c>
      <c r="D45" s="81"/>
      <c r="E45" s="81"/>
      <c r="F45" s="81"/>
      <c r="G45" s="81"/>
      <c r="H45" s="81"/>
      <c r="I45" s="80"/>
      <c r="J45" s="1853"/>
      <c r="K45" s="1853"/>
      <c r="L45" s="81"/>
      <c r="M45" s="81"/>
      <c r="N45" s="81"/>
      <c r="O45" s="81"/>
      <c r="P45" s="81"/>
      <c r="Q45" s="82"/>
      <c r="R45" s="82"/>
      <c r="S45" s="82"/>
      <c r="T45" s="82"/>
      <c r="U45" s="82"/>
      <c r="V45" s="82"/>
      <c r="W45" s="83"/>
      <c r="X45" s="82"/>
      <c r="Y45" s="82"/>
      <c r="Z45" s="82"/>
      <c r="AA45" s="76"/>
      <c r="AB45" s="46"/>
      <c r="AC45" s="9"/>
    </row>
    <row r="46" spans="1:71" ht="17.25" customHeight="1">
      <c r="A46" s="6"/>
      <c r="B46" s="80" t="s">
        <v>101</v>
      </c>
      <c r="C46" s="84" t="s">
        <v>102</v>
      </c>
      <c r="D46" s="84"/>
      <c r="E46" s="84"/>
      <c r="F46" s="84"/>
      <c r="G46" s="85"/>
      <c r="H46" s="86" t="s">
        <v>103</v>
      </c>
      <c r="I46" s="87">
        <v>12</v>
      </c>
      <c r="J46" s="86"/>
      <c r="K46" s="1854" t="s">
        <v>104</v>
      </c>
      <c r="L46" s="1855"/>
      <c r="M46" s="1855"/>
      <c r="N46" s="1855"/>
      <c r="O46" s="1856"/>
      <c r="P46" s="84"/>
      <c r="Q46" s="85"/>
      <c r="R46" s="85"/>
      <c r="S46" s="85"/>
      <c r="T46" s="77"/>
      <c r="U46" s="77"/>
      <c r="V46" s="77"/>
      <c r="W46" s="88"/>
      <c r="X46" s="88"/>
      <c r="Y46" s="88"/>
      <c r="Z46" s="88"/>
      <c r="AA46" s="76"/>
      <c r="AB46" s="46"/>
      <c r="AC46" s="9"/>
    </row>
    <row r="47" spans="1:71" ht="17.25" customHeight="1">
      <c r="A47" s="6"/>
      <c r="B47" s="81"/>
      <c r="C47" s="89" t="s">
        <v>105</v>
      </c>
      <c r="D47" s="84"/>
      <c r="E47" s="84"/>
      <c r="F47" s="84" t="s">
        <v>106</v>
      </c>
      <c r="G47" s="84"/>
      <c r="H47" s="84"/>
      <c r="I47" s="84"/>
      <c r="J47" s="84"/>
      <c r="K47" s="84"/>
      <c r="L47" s="84"/>
      <c r="M47" s="1850"/>
      <c r="N47" s="1850"/>
      <c r="O47" s="84"/>
      <c r="P47" s="84"/>
      <c r="Q47" s="90"/>
      <c r="R47" s="90"/>
      <c r="S47" s="90"/>
      <c r="T47" s="76"/>
      <c r="U47" s="76"/>
      <c r="V47" s="76"/>
      <c r="W47" s="91"/>
      <c r="X47" s="91"/>
      <c r="Y47" s="91"/>
      <c r="Z47" s="91"/>
      <c r="AA47" s="76"/>
      <c r="AB47" s="46"/>
      <c r="AC47" s="9"/>
    </row>
    <row r="48" spans="1:71" ht="17.25" customHeight="1">
      <c r="A48" s="6"/>
      <c r="B48" s="81"/>
      <c r="C48" s="86" t="s">
        <v>107</v>
      </c>
      <c r="D48" s="84" t="s">
        <v>108</v>
      </c>
      <c r="E48" s="84"/>
      <c r="F48" s="84"/>
      <c r="G48" s="84"/>
      <c r="H48" s="84" t="s">
        <v>109</v>
      </c>
      <c r="I48" s="84"/>
      <c r="J48" s="84"/>
      <c r="K48" s="84"/>
      <c r="L48" s="92" t="s">
        <v>110</v>
      </c>
      <c r="M48" s="93">
        <f>ROUND(I46/0.75,0)</f>
        <v>16</v>
      </c>
      <c r="N48" s="93"/>
      <c r="O48" s="84"/>
      <c r="P48" s="85" t="s">
        <v>111</v>
      </c>
      <c r="Q48" s="85"/>
      <c r="R48" s="84">
        <f>+M48/2</f>
        <v>8</v>
      </c>
      <c r="S48" s="85"/>
      <c r="T48" s="77"/>
      <c r="U48" s="77"/>
      <c r="V48" s="77"/>
      <c r="W48" s="77"/>
      <c r="X48" s="77"/>
      <c r="Y48" s="77"/>
      <c r="Z48" s="77"/>
      <c r="AA48" s="77"/>
      <c r="AB48" s="9"/>
      <c r="AC48" s="9"/>
      <c r="AD48" s="58"/>
      <c r="AE48" s="46"/>
      <c r="AF48" s="46"/>
      <c r="AG48" s="46"/>
      <c r="AH48" s="9"/>
      <c r="AX48" s="3"/>
      <c r="AY48" s="3"/>
      <c r="BC48" s="5"/>
      <c r="BD48" s="5"/>
    </row>
    <row r="49" spans="1:56" ht="17.25" customHeight="1">
      <c r="A49" s="6"/>
      <c r="B49" s="81"/>
      <c r="C49" s="86" t="s">
        <v>107</v>
      </c>
      <c r="D49" s="84" t="s">
        <v>112</v>
      </c>
      <c r="E49" s="84"/>
      <c r="F49" s="84"/>
      <c r="G49" s="84"/>
      <c r="H49" s="84" t="s">
        <v>113</v>
      </c>
      <c r="I49" s="84"/>
      <c r="J49" s="84"/>
      <c r="K49" s="84"/>
      <c r="L49" s="92" t="s">
        <v>110</v>
      </c>
      <c r="M49" s="93">
        <f>ROUND(I46/0.82,0)</f>
        <v>15</v>
      </c>
      <c r="N49" s="93"/>
      <c r="O49" s="84"/>
      <c r="P49" s="85" t="s">
        <v>111</v>
      </c>
      <c r="Q49" s="94"/>
      <c r="R49" s="84">
        <f>+M49/2</f>
        <v>7.5</v>
      </c>
      <c r="S49" s="85"/>
      <c r="T49" s="77"/>
      <c r="U49" s="77"/>
      <c r="V49" s="77"/>
      <c r="W49" s="77"/>
      <c r="X49" s="77"/>
      <c r="Y49" s="77"/>
      <c r="Z49" s="77"/>
      <c r="AA49" s="77"/>
      <c r="AB49" s="9"/>
      <c r="AC49" s="9"/>
      <c r="AD49" s="9"/>
      <c r="AE49" s="9"/>
      <c r="AF49" s="9"/>
      <c r="AG49" s="9"/>
      <c r="AH49" s="9"/>
      <c r="AX49" s="3"/>
      <c r="AY49" s="3"/>
      <c r="BC49" s="5"/>
      <c r="BD49" s="5"/>
    </row>
    <row r="50" spans="1:56" ht="17.25" customHeight="1">
      <c r="A50" s="6"/>
      <c r="B50" s="80"/>
      <c r="C50" s="86" t="s">
        <v>107</v>
      </c>
      <c r="D50" s="84" t="s">
        <v>114</v>
      </c>
      <c r="E50" s="84"/>
      <c r="F50" s="84"/>
      <c r="G50" s="84"/>
      <c r="H50" s="84" t="s">
        <v>115</v>
      </c>
      <c r="I50" s="84"/>
      <c r="J50" s="84"/>
      <c r="K50" s="84"/>
      <c r="L50" s="92" t="s">
        <v>110</v>
      </c>
      <c r="M50" s="93">
        <f>ROUND(4+I46/2,0)</f>
        <v>10</v>
      </c>
      <c r="N50" s="93"/>
      <c r="O50" s="84"/>
      <c r="P50" s="85" t="s">
        <v>111</v>
      </c>
      <c r="Q50" s="95"/>
      <c r="R50" s="84">
        <f>+M50/2</f>
        <v>5</v>
      </c>
      <c r="S50" s="96"/>
      <c r="T50" s="82"/>
      <c r="U50" s="82"/>
      <c r="V50" s="82"/>
      <c r="W50" s="82"/>
      <c r="X50" s="82"/>
      <c r="Y50" s="82"/>
      <c r="Z50" s="82"/>
      <c r="AA50" s="82"/>
      <c r="AB50" s="97"/>
      <c r="AC50" s="97"/>
      <c r="AD50" s="97"/>
      <c r="AE50" s="97"/>
      <c r="AF50" s="46"/>
      <c r="AG50" s="46"/>
      <c r="AH50" s="9"/>
      <c r="AX50" s="3"/>
      <c r="AY50" s="3"/>
      <c r="BC50" s="5"/>
      <c r="BD50" s="5"/>
    </row>
    <row r="51" spans="1:56" ht="17.25" customHeight="1">
      <c r="A51" s="6"/>
      <c r="B51" s="85"/>
      <c r="C51" s="84" t="s">
        <v>116</v>
      </c>
      <c r="D51" s="84"/>
      <c r="E51" s="84"/>
      <c r="F51" s="84"/>
      <c r="G51" s="84"/>
      <c r="H51" s="84"/>
      <c r="I51" s="84"/>
      <c r="J51" s="84" t="s">
        <v>103</v>
      </c>
      <c r="K51" s="84"/>
      <c r="L51" s="84">
        <f>+R50</f>
        <v>5</v>
      </c>
      <c r="M51" s="89" t="s">
        <v>117</v>
      </c>
      <c r="N51" s="86"/>
      <c r="O51" s="84"/>
      <c r="P51" s="84" t="s">
        <v>409</v>
      </c>
      <c r="Q51" s="98"/>
      <c r="R51" s="85"/>
      <c r="S51" s="85"/>
      <c r="T51" s="77"/>
      <c r="U51" s="77"/>
      <c r="V51" s="77"/>
      <c r="W51" s="77"/>
      <c r="X51" s="77"/>
      <c r="Y51" s="77"/>
      <c r="Z51" s="99"/>
      <c r="AA51" s="99"/>
      <c r="AB51" s="100"/>
      <c r="AC51" s="100"/>
      <c r="AD51" s="100"/>
      <c r="AE51" s="100"/>
      <c r="AF51" s="46"/>
      <c r="AG51" s="46"/>
      <c r="AH51" s="9"/>
      <c r="AX51" s="3"/>
      <c r="AY51" s="3"/>
      <c r="BC51" s="5"/>
      <c r="BD51" s="5"/>
    </row>
    <row r="52" spans="1:56" ht="9.75" customHeight="1">
      <c r="A52" s="6"/>
      <c r="B52" s="77"/>
      <c r="C52" s="85"/>
      <c r="D52" s="101"/>
      <c r="E52" s="101"/>
      <c r="F52" s="101"/>
      <c r="G52" s="102"/>
      <c r="H52" s="102"/>
      <c r="I52" s="102"/>
      <c r="J52" s="102"/>
      <c r="K52" s="103"/>
      <c r="L52" s="103"/>
      <c r="M52" s="103"/>
      <c r="N52" s="103"/>
      <c r="O52" s="103"/>
      <c r="P52" s="103"/>
      <c r="Q52" s="85"/>
      <c r="R52" s="85"/>
      <c r="S52" s="85"/>
      <c r="T52" s="77"/>
      <c r="U52" s="77"/>
      <c r="V52" s="77"/>
      <c r="W52" s="77"/>
      <c r="X52" s="77"/>
      <c r="Y52" s="77"/>
      <c r="Z52" s="77"/>
      <c r="AA52" s="77"/>
      <c r="AB52" s="9"/>
      <c r="AC52" s="9"/>
      <c r="AD52" s="9"/>
      <c r="AE52" s="9"/>
      <c r="AF52" s="46"/>
      <c r="AG52" s="46"/>
      <c r="AH52" s="9"/>
      <c r="AX52" s="3"/>
      <c r="AY52" s="3"/>
      <c r="BC52" s="5"/>
      <c r="BD52" s="5"/>
    </row>
    <row r="53" spans="1:56" ht="17.25" customHeight="1">
      <c r="A53" s="6"/>
      <c r="B53" s="80" t="s">
        <v>101</v>
      </c>
      <c r="C53" s="84" t="s">
        <v>102</v>
      </c>
      <c r="D53" s="84"/>
      <c r="E53" s="84"/>
      <c r="F53" s="84"/>
      <c r="G53" s="85"/>
      <c r="H53" s="86" t="s">
        <v>103</v>
      </c>
      <c r="I53" s="87">
        <v>35</v>
      </c>
      <c r="J53" s="86"/>
      <c r="K53" s="1854" t="s">
        <v>104</v>
      </c>
      <c r="L53" s="1855"/>
      <c r="M53" s="1855"/>
      <c r="N53" s="1855"/>
      <c r="O53" s="1856"/>
      <c r="P53" s="84"/>
      <c r="Q53" s="85"/>
      <c r="R53" s="85"/>
      <c r="S53" s="85"/>
      <c r="T53" s="77"/>
      <c r="U53" s="77"/>
      <c r="V53" s="77"/>
      <c r="W53" s="77"/>
      <c r="X53" s="77"/>
      <c r="Y53" s="77"/>
      <c r="Z53" s="77"/>
      <c r="AA53" s="77"/>
      <c r="AB53" s="46"/>
      <c r="AC53" s="46"/>
      <c r="AD53" s="46"/>
      <c r="AE53" s="104" t="s">
        <v>101</v>
      </c>
      <c r="AF53" s="105" t="s">
        <v>102</v>
      </c>
      <c r="AG53" s="105"/>
      <c r="AH53" s="105"/>
      <c r="AI53" s="105"/>
      <c r="AK53" s="106" t="s">
        <v>103</v>
      </c>
      <c r="AL53" s="106">
        <v>214</v>
      </c>
      <c r="AM53" s="106"/>
      <c r="AN53" s="1219" t="s">
        <v>104</v>
      </c>
      <c r="AO53" s="1220"/>
      <c r="AP53" s="1220"/>
      <c r="AQ53" s="1220"/>
      <c r="AR53" s="1221"/>
      <c r="AS53" s="105"/>
      <c r="AT53" s="107"/>
      <c r="AU53" s="107"/>
      <c r="AV53" s="107"/>
      <c r="AW53" s="9"/>
      <c r="AX53" s="9"/>
      <c r="AY53" s="3"/>
      <c r="BC53" s="5"/>
      <c r="BD53" s="5"/>
    </row>
    <row r="54" spans="1:56" ht="17.25" customHeight="1">
      <c r="A54" s="6"/>
      <c r="B54" s="81"/>
      <c r="C54" s="89" t="s">
        <v>105</v>
      </c>
      <c r="D54" s="84"/>
      <c r="E54" s="84"/>
      <c r="F54" s="84" t="s">
        <v>106</v>
      </c>
      <c r="G54" s="84"/>
      <c r="H54" s="84"/>
      <c r="I54" s="84"/>
      <c r="J54" s="84"/>
      <c r="K54" s="84"/>
      <c r="L54" s="84"/>
      <c r="M54" s="1850"/>
      <c r="N54" s="1850"/>
      <c r="O54" s="84"/>
      <c r="P54" s="84"/>
      <c r="Q54" s="90"/>
      <c r="R54" s="90"/>
      <c r="S54" s="90"/>
      <c r="T54" s="76"/>
      <c r="U54" s="76"/>
      <c r="V54" s="76"/>
      <c r="W54" s="76"/>
      <c r="X54" s="76"/>
      <c r="Y54" s="76"/>
      <c r="Z54" s="76"/>
      <c r="AA54" s="76"/>
      <c r="AB54" s="46"/>
      <c r="AC54" s="46"/>
      <c r="AD54" s="46"/>
      <c r="AE54" s="108"/>
      <c r="AF54" s="109" t="s">
        <v>105</v>
      </c>
      <c r="AG54" s="105"/>
      <c r="AH54" s="105"/>
      <c r="AI54" s="105" t="s">
        <v>106</v>
      </c>
      <c r="AJ54" s="105"/>
      <c r="AK54" s="105"/>
      <c r="AL54" s="105"/>
      <c r="AM54" s="105"/>
      <c r="AN54" s="105"/>
      <c r="AO54" s="105"/>
      <c r="AP54" s="1204"/>
      <c r="AQ54" s="1204"/>
      <c r="AR54" s="105"/>
      <c r="AS54" s="105"/>
      <c r="AT54" s="110"/>
      <c r="AU54" s="110"/>
      <c r="AV54" s="110"/>
      <c r="AW54" s="46"/>
      <c r="AX54" s="46"/>
      <c r="AY54" s="3"/>
      <c r="BC54" s="5"/>
      <c r="BD54" s="5"/>
    </row>
    <row r="55" spans="1:56" ht="17.25" customHeight="1">
      <c r="A55" s="6"/>
      <c r="B55" s="81"/>
      <c r="C55" s="86" t="s">
        <v>107</v>
      </c>
      <c r="D55" s="84" t="s">
        <v>108</v>
      </c>
      <c r="E55" s="84"/>
      <c r="F55" s="84"/>
      <c r="G55" s="84"/>
      <c r="H55" s="84" t="s">
        <v>109</v>
      </c>
      <c r="I55" s="84"/>
      <c r="J55" s="84"/>
      <c r="K55" s="84"/>
      <c r="L55" s="92" t="s">
        <v>110</v>
      </c>
      <c r="M55" s="93">
        <f>ROUND(I53/0.75,0)</f>
        <v>47</v>
      </c>
      <c r="N55" s="93"/>
      <c r="O55" s="84"/>
      <c r="P55" s="85" t="s">
        <v>111</v>
      </c>
      <c r="Q55" s="85"/>
      <c r="R55" s="84">
        <f>+M55/2</f>
        <v>23.5</v>
      </c>
      <c r="S55" s="85"/>
      <c r="T55" s="77"/>
      <c r="U55" s="77"/>
      <c r="V55" s="77"/>
      <c r="W55" s="77"/>
      <c r="X55" s="77"/>
      <c r="Y55" s="77"/>
      <c r="Z55" s="77"/>
      <c r="AA55" s="77"/>
      <c r="AB55" s="9"/>
      <c r="AC55" s="9"/>
      <c r="AD55" s="58"/>
      <c r="AE55" s="108"/>
      <c r="AF55" s="106" t="s">
        <v>107</v>
      </c>
      <c r="AG55" s="105" t="s">
        <v>108</v>
      </c>
      <c r="AH55" s="105"/>
      <c r="AI55" s="105"/>
      <c r="AJ55" s="105"/>
      <c r="AK55" s="105" t="s">
        <v>109</v>
      </c>
      <c r="AL55" s="105"/>
      <c r="AM55" s="105"/>
      <c r="AN55" s="105"/>
      <c r="AO55" s="111" t="s">
        <v>110</v>
      </c>
      <c r="AP55" s="112">
        <f>ROUND(AL53/0.75,0)</f>
        <v>285</v>
      </c>
      <c r="AQ55" s="112"/>
      <c r="AR55" s="105"/>
      <c r="AS55" s="3" t="s">
        <v>111</v>
      </c>
      <c r="AT55" s="107"/>
      <c r="AU55" s="105">
        <f>+AP55/2</f>
        <v>142.5</v>
      </c>
      <c r="AV55" s="107"/>
      <c r="AW55" s="9"/>
      <c r="AX55" s="9"/>
      <c r="AY55" s="3"/>
      <c r="BC55" s="5"/>
      <c r="BD55" s="5"/>
    </row>
    <row r="56" spans="1:56" ht="17.25" customHeight="1">
      <c r="A56" s="6"/>
      <c r="B56" s="81"/>
      <c r="C56" s="86" t="s">
        <v>107</v>
      </c>
      <c r="D56" s="84" t="s">
        <v>112</v>
      </c>
      <c r="E56" s="84"/>
      <c r="F56" s="84"/>
      <c r="G56" s="84"/>
      <c r="H56" s="84" t="s">
        <v>113</v>
      </c>
      <c r="I56" s="84"/>
      <c r="J56" s="84"/>
      <c r="K56" s="84"/>
      <c r="L56" s="92" t="s">
        <v>110</v>
      </c>
      <c r="M56" s="93">
        <f>ROUND(I53/0.82,0)</f>
        <v>43</v>
      </c>
      <c r="N56" s="93"/>
      <c r="O56" s="84"/>
      <c r="P56" s="85" t="s">
        <v>111</v>
      </c>
      <c r="Q56" s="94"/>
      <c r="R56" s="84">
        <f>+M56/2</f>
        <v>21.5</v>
      </c>
      <c r="S56" s="85"/>
      <c r="T56" s="77"/>
      <c r="U56" s="77"/>
      <c r="V56" s="77"/>
      <c r="W56" s="77"/>
      <c r="X56" s="77"/>
      <c r="Y56" s="77"/>
      <c r="Z56" s="77"/>
      <c r="AA56" s="77"/>
      <c r="AB56" s="9"/>
      <c r="AC56" s="58"/>
      <c r="AD56" s="9"/>
      <c r="AE56" s="108"/>
      <c r="AF56" s="106" t="s">
        <v>107</v>
      </c>
      <c r="AG56" s="105" t="s">
        <v>112</v>
      </c>
      <c r="AH56" s="105"/>
      <c r="AI56" s="105"/>
      <c r="AJ56" s="105"/>
      <c r="AK56" s="105" t="s">
        <v>113</v>
      </c>
      <c r="AL56" s="105"/>
      <c r="AM56" s="105"/>
      <c r="AN56" s="105"/>
      <c r="AO56" s="111" t="s">
        <v>110</v>
      </c>
      <c r="AP56" s="112">
        <f>ROUND(AL53/0.82,0)</f>
        <v>261</v>
      </c>
      <c r="AQ56" s="112"/>
      <c r="AR56" s="105"/>
      <c r="AS56" s="3" t="s">
        <v>111</v>
      </c>
      <c r="AT56" s="113"/>
      <c r="AU56" s="105">
        <f>+AP56/2</f>
        <v>130.5</v>
      </c>
      <c r="AV56" s="107"/>
      <c r="AW56" s="9"/>
      <c r="AX56" s="9"/>
      <c r="AY56" s="3"/>
      <c r="BC56" s="5"/>
      <c r="BD56" s="5"/>
    </row>
    <row r="57" spans="1:56" ht="17.25" customHeight="1">
      <c r="A57" s="6"/>
      <c r="B57" s="80" t="s">
        <v>101</v>
      </c>
      <c r="C57" s="86" t="s">
        <v>107</v>
      </c>
      <c r="D57" s="84" t="s">
        <v>114</v>
      </c>
      <c r="E57" s="84"/>
      <c r="F57" s="84"/>
      <c r="G57" s="84"/>
      <c r="H57" s="84" t="s">
        <v>115</v>
      </c>
      <c r="I57" s="84"/>
      <c r="J57" s="84"/>
      <c r="K57" s="84"/>
      <c r="L57" s="92" t="s">
        <v>110</v>
      </c>
      <c r="M57" s="93">
        <f>ROUND(4+I53/2,0)</f>
        <v>22</v>
      </c>
      <c r="N57" s="93"/>
      <c r="O57" s="84"/>
      <c r="P57" s="85" t="s">
        <v>111</v>
      </c>
      <c r="Q57" s="95"/>
      <c r="R57" s="84">
        <f>+M57/2</f>
        <v>11</v>
      </c>
      <c r="S57" s="96"/>
      <c r="T57" s="82"/>
      <c r="U57" s="82"/>
      <c r="V57" s="82"/>
      <c r="W57" s="82"/>
      <c r="X57" s="82"/>
      <c r="Y57" s="82"/>
      <c r="Z57" s="82"/>
      <c r="AA57" s="82"/>
      <c r="AB57" s="9"/>
      <c r="AC57" s="58"/>
      <c r="AD57" s="114"/>
      <c r="AE57" s="104" t="s">
        <v>101</v>
      </c>
      <c r="AF57" s="106" t="s">
        <v>107</v>
      </c>
      <c r="AG57" s="105" t="s">
        <v>114</v>
      </c>
      <c r="AH57" s="105"/>
      <c r="AI57" s="105"/>
      <c r="AJ57" s="105"/>
      <c r="AK57" s="105" t="s">
        <v>115</v>
      </c>
      <c r="AL57" s="105"/>
      <c r="AM57" s="105"/>
      <c r="AN57" s="105"/>
      <c r="AO57" s="111" t="s">
        <v>110</v>
      </c>
      <c r="AP57" s="112">
        <f>ROUND(4+AL53/2,0)</f>
        <v>111</v>
      </c>
      <c r="AQ57" s="112"/>
      <c r="AR57" s="105"/>
      <c r="AS57" s="3" t="s">
        <v>111</v>
      </c>
      <c r="AT57" s="115"/>
      <c r="AU57" s="105">
        <f>+AP57/2</f>
        <v>55.5</v>
      </c>
      <c r="AV57" s="116"/>
      <c r="AW57" s="97"/>
      <c r="AX57" s="97"/>
      <c r="AY57" s="3"/>
      <c r="BC57" s="5"/>
      <c r="BD57" s="5"/>
    </row>
    <row r="58" spans="1:56" ht="17.25" customHeight="1">
      <c r="A58" s="6"/>
      <c r="B58" s="85"/>
      <c r="C58" s="84" t="s">
        <v>413</v>
      </c>
      <c r="D58" s="84"/>
      <c r="E58" s="84"/>
      <c r="F58" s="84"/>
      <c r="G58" s="84"/>
      <c r="H58" s="84"/>
      <c r="I58" s="84"/>
      <c r="J58" s="84" t="s">
        <v>103</v>
      </c>
      <c r="K58" s="84"/>
      <c r="L58" s="84">
        <f>+R57</f>
        <v>11</v>
      </c>
      <c r="M58" s="89" t="s">
        <v>117</v>
      </c>
      <c r="N58" s="86"/>
      <c r="O58" s="84"/>
      <c r="P58" s="84" t="s">
        <v>410</v>
      </c>
      <c r="Q58" s="98"/>
      <c r="R58" s="85"/>
      <c r="S58" s="85"/>
      <c r="T58" s="77"/>
      <c r="U58" s="77"/>
      <c r="V58" s="77"/>
      <c r="W58" s="77"/>
      <c r="X58" s="77"/>
      <c r="Y58" s="77"/>
      <c r="Z58" s="99"/>
      <c r="AA58" s="99"/>
      <c r="AB58" s="9"/>
      <c r="AC58" s="58"/>
      <c r="AD58" s="114"/>
      <c r="AF58" s="105" t="s">
        <v>412</v>
      </c>
      <c r="AG58" s="105"/>
      <c r="AH58" s="105"/>
      <c r="AI58" s="105"/>
      <c r="AJ58" s="105"/>
      <c r="AK58" s="105"/>
      <c r="AL58" s="105"/>
      <c r="AM58" s="105" t="s">
        <v>103</v>
      </c>
      <c r="AN58" s="105"/>
      <c r="AO58" s="105">
        <f>+AU57</f>
        <v>55.5</v>
      </c>
      <c r="AP58" s="109" t="s">
        <v>117</v>
      </c>
      <c r="AQ58" s="106"/>
      <c r="AR58" s="105"/>
      <c r="AS58" s="105" t="s">
        <v>411</v>
      </c>
      <c r="AT58" s="117"/>
      <c r="AU58" s="107"/>
      <c r="AV58" s="107"/>
      <c r="AW58" s="9"/>
      <c r="AX58" s="100"/>
      <c r="AY58" s="3"/>
      <c r="BC58" s="5"/>
      <c r="BD58" s="5"/>
    </row>
    <row r="59" spans="1:56" ht="11.25" customHeight="1">
      <c r="A59" s="6"/>
      <c r="B59" s="85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9"/>
      <c r="N59" s="86"/>
      <c r="O59" s="84"/>
      <c r="P59" s="84"/>
      <c r="Q59" s="85"/>
      <c r="R59" s="85"/>
      <c r="S59" s="85"/>
      <c r="T59" s="77"/>
      <c r="U59" s="77"/>
      <c r="V59" s="77"/>
      <c r="W59" s="77"/>
      <c r="X59" s="77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X59" s="3"/>
      <c r="AY59" s="3"/>
      <c r="BC59" s="5"/>
      <c r="BD59" s="5"/>
    </row>
    <row r="60" spans="1:56" ht="17.25" customHeight="1">
      <c r="A60" s="6"/>
      <c r="B60" s="80" t="s">
        <v>118</v>
      </c>
      <c r="C60" s="84" t="s">
        <v>119</v>
      </c>
      <c r="D60" s="84"/>
      <c r="E60" s="84"/>
      <c r="F60" s="84"/>
      <c r="G60" s="84"/>
      <c r="H60" s="84"/>
      <c r="I60" s="84"/>
      <c r="J60" s="84"/>
      <c r="K60" s="84"/>
      <c r="L60" s="84"/>
      <c r="M60" s="89"/>
      <c r="N60" s="86"/>
      <c r="O60" s="84"/>
      <c r="P60" s="84"/>
      <c r="Q60" s="85"/>
      <c r="R60" s="85"/>
      <c r="S60" s="85"/>
      <c r="T60" s="77"/>
      <c r="U60" s="77"/>
      <c r="V60" s="77"/>
      <c r="W60" s="77"/>
      <c r="X60" s="77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X60" s="3"/>
      <c r="AY60" s="3"/>
      <c r="BC60" s="5"/>
      <c r="BD60" s="5"/>
    </row>
    <row r="61" spans="1:56" ht="17.25" customHeight="1">
      <c r="A61" s="6"/>
      <c r="B61" s="85"/>
      <c r="C61" s="84" t="s">
        <v>102</v>
      </c>
      <c r="D61" s="84"/>
      <c r="E61" s="84"/>
      <c r="F61" s="84"/>
      <c r="G61" s="85"/>
      <c r="H61" s="86" t="s">
        <v>103</v>
      </c>
      <c r="I61" s="87">
        <v>25</v>
      </c>
      <c r="J61" s="86"/>
      <c r="K61" s="1852" t="s">
        <v>104</v>
      </c>
      <c r="L61" s="1852"/>
      <c r="M61" s="1852"/>
      <c r="N61" s="1852"/>
      <c r="O61" s="1852"/>
      <c r="P61" s="84"/>
      <c r="Q61" s="85"/>
      <c r="R61" s="85"/>
      <c r="S61" s="85"/>
      <c r="T61" s="77"/>
      <c r="U61" s="77"/>
      <c r="V61" s="77"/>
      <c r="W61" s="77"/>
      <c r="X61" s="77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25" customHeight="1">
      <c r="A62" s="6"/>
      <c r="B62" s="80" t="s">
        <v>101</v>
      </c>
      <c r="C62" s="84" t="s">
        <v>120</v>
      </c>
      <c r="D62" s="84"/>
      <c r="E62" s="84"/>
      <c r="F62" s="84"/>
      <c r="G62" s="84"/>
      <c r="H62" s="84"/>
      <c r="I62" s="86" t="s">
        <v>103</v>
      </c>
      <c r="J62" s="1850">
        <f>MIN(M63:N67)</f>
        <v>34</v>
      </c>
      <c r="K62" s="1850"/>
      <c r="L62" s="84" t="s">
        <v>121</v>
      </c>
      <c r="M62" s="84"/>
      <c r="N62" s="84"/>
      <c r="O62" s="84"/>
      <c r="P62" s="84"/>
      <c r="Q62" s="85"/>
      <c r="R62" s="85"/>
      <c r="S62" s="85"/>
      <c r="T62" s="77"/>
      <c r="U62" s="77"/>
      <c r="V62" s="77"/>
      <c r="W62" s="77"/>
      <c r="X62" s="77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25" customHeight="1">
      <c r="A63" s="6"/>
      <c r="B63" s="81"/>
      <c r="C63" s="86" t="s">
        <v>107</v>
      </c>
      <c r="D63" s="84" t="s">
        <v>108</v>
      </c>
      <c r="E63" s="84"/>
      <c r="F63" s="84"/>
      <c r="G63" s="84"/>
      <c r="H63" s="84" t="s">
        <v>122</v>
      </c>
      <c r="I63" s="84"/>
      <c r="J63" s="84"/>
      <c r="K63" s="84"/>
      <c r="L63" s="84" t="s">
        <v>110</v>
      </c>
      <c r="M63" s="1850">
        <f>ROUND(SQRT(12*I61)+20,0)</f>
        <v>37</v>
      </c>
      <c r="N63" s="1850"/>
      <c r="O63" s="84"/>
      <c r="P63" s="84"/>
      <c r="Q63" s="85"/>
      <c r="R63" s="85"/>
      <c r="S63" s="85"/>
      <c r="T63" s="77"/>
      <c r="U63" s="77"/>
      <c r="V63" s="77"/>
      <c r="W63" s="77"/>
      <c r="X63" s="77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25" customHeight="1">
      <c r="A64" s="6"/>
      <c r="B64" s="81"/>
      <c r="C64" s="86" t="s">
        <v>107</v>
      </c>
      <c r="D64" s="84" t="s">
        <v>123</v>
      </c>
      <c r="E64" s="84"/>
      <c r="F64" s="84"/>
      <c r="G64" s="84"/>
      <c r="H64" s="84" t="s">
        <v>124</v>
      </c>
      <c r="I64" s="84"/>
      <c r="J64" s="84"/>
      <c r="K64" s="84"/>
      <c r="L64" s="84" t="s">
        <v>110</v>
      </c>
      <c r="M64" s="1850">
        <f>ROUND(0.25*I61+32.5,0)</f>
        <v>39</v>
      </c>
      <c r="N64" s="1850"/>
      <c r="O64" s="84"/>
      <c r="P64" s="84"/>
      <c r="Q64" s="85"/>
      <c r="R64" s="85"/>
      <c r="S64" s="85"/>
      <c r="T64" s="77"/>
      <c r="U64" s="77"/>
      <c r="V64" s="77"/>
      <c r="W64" s="77"/>
      <c r="X64" s="77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25" customHeight="1">
      <c r="A65" s="6"/>
      <c r="B65" s="81"/>
      <c r="C65" s="86" t="s">
        <v>107</v>
      </c>
      <c r="D65" s="84" t="s">
        <v>125</v>
      </c>
      <c r="E65" s="84"/>
      <c r="F65" s="84"/>
      <c r="G65" s="84"/>
      <c r="H65" s="84" t="s">
        <v>126</v>
      </c>
      <c r="I65" s="84"/>
      <c r="J65" s="84"/>
      <c r="K65" s="84"/>
      <c r="L65" s="84" t="s">
        <v>110</v>
      </c>
      <c r="M65" s="1850">
        <f>ROUND(0.3*I61+27,0)</f>
        <v>35</v>
      </c>
      <c r="N65" s="1850"/>
      <c r="O65" s="84"/>
      <c r="P65" s="84"/>
      <c r="Q65" s="85"/>
      <c r="R65" s="85"/>
      <c r="S65" s="85"/>
      <c r="T65" s="77"/>
      <c r="U65" s="77"/>
      <c r="V65" s="77"/>
      <c r="W65" s="77"/>
      <c r="X65" s="77"/>
      <c r="Y65" s="77"/>
      <c r="Z65" s="99"/>
      <c r="AA65" s="99"/>
      <c r="AB65" s="9"/>
      <c r="AC65" s="58"/>
      <c r="AD65" s="114"/>
      <c r="AE65" s="114"/>
      <c r="AF65" s="114"/>
      <c r="AG65" s="2"/>
      <c r="AH65" s="9"/>
      <c r="AX65" s="3"/>
      <c r="AY65" s="3"/>
      <c r="BC65" s="5"/>
      <c r="BD65" s="5"/>
    </row>
    <row r="66" spans="1:56" ht="21" customHeight="1">
      <c r="A66" s="6"/>
      <c r="B66" s="81"/>
      <c r="C66" s="86" t="s">
        <v>107</v>
      </c>
      <c r="D66" s="84" t="s">
        <v>114</v>
      </c>
      <c r="E66" s="84"/>
      <c r="F66" s="84"/>
      <c r="G66" s="84"/>
      <c r="H66" s="84" t="s">
        <v>127</v>
      </c>
      <c r="I66" s="84"/>
      <c r="J66" s="84"/>
      <c r="K66" s="84"/>
      <c r="L66" s="84" t="s">
        <v>110</v>
      </c>
      <c r="M66" s="1850">
        <f>ROUND(SQRT(20*I61)+15,0)</f>
        <v>37</v>
      </c>
      <c r="N66" s="1850"/>
      <c r="O66" s="84"/>
      <c r="P66" s="84"/>
      <c r="Q66" s="85"/>
      <c r="R66" s="85"/>
      <c r="S66" s="85"/>
      <c r="T66" s="77"/>
      <c r="U66" s="77"/>
      <c r="V66" s="77"/>
      <c r="W66" s="77"/>
      <c r="X66" s="77"/>
      <c r="Y66" s="77"/>
      <c r="Z66" s="99"/>
      <c r="AA66" s="99"/>
      <c r="AB66" s="9"/>
      <c r="AC66" s="58"/>
      <c r="AD66" s="114"/>
      <c r="AE66" s="114"/>
      <c r="AF66" s="114"/>
      <c r="AG66" s="2"/>
      <c r="AH66" s="9"/>
      <c r="AX66" s="3"/>
      <c r="AY66" s="3"/>
      <c r="BC66" s="5"/>
      <c r="BD66" s="5"/>
    </row>
    <row r="67" spans="1:56" ht="21" customHeight="1">
      <c r="A67" s="6"/>
      <c r="B67" s="81"/>
      <c r="C67" s="86" t="s">
        <v>107</v>
      </c>
      <c r="D67" s="84" t="s">
        <v>128</v>
      </c>
      <c r="E67" s="84"/>
      <c r="F67" s="84"/>
      <c r="G67" s="84"/>
      <c r="H67" s="84" t="s">
        <v>129</v>
      </c>
      <c r="I67" s="84"/>
      <c r="J67" s="84"/>
      <c r="K67" s="84"/>
      <c r="L67" s="84" t="s">
        <v>110</v>
      </c>
      <c r="M67" s="1850">
        <f>ROUND(SQRT(15*I61)+15,0)</f>
        <v>34</v>
      </c>
      <c r="N67" s="1850"/>
      <c r="O67" s="84"/>
      <c r="P67" s="84"/>
      <c r="Q67" s="85"/>
      <c r="R67" s="85"/>
      <c r="S67" s="85"/>
      <c r="T67" s="77"/>
      <c r="U67" s="77"/>
      <c r="V67" s="77"/>
      <c r="W67" s="77"/>
      <c r="X67" s="77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5"/>
      <c r="BD67" s="5"/>
    </row>
    <row r="68" spans="1:56" ht="21" customHeight="1">
      <c r="A68" s="6"/>
      <c r="B68" s="85"/>
      <c r="C68" s="84" t="s">
        <v>130</v>
      </c>
      <c r="D68" s="84"/>
      <c r="E68" s="84"/>
      <c r="F68" s="84"/>
      <c r="G68" s="84"/>
      <c r="H68" s="84"/>
      <c r="I68" s="84"/>
      <c r="J68" s="84" t="s">
        <v>103</v>
      </c>
      <c r="K68" s="84"/>
      <c r="L68" s="84">
        <f>+M67</f>
        <v>34</v>
      </c>
      <c r="M68" s="121" t="s">
        <v>131</v>
      </c>
      <c r="N68" s="86"/>
      <c r="O68" s="84"/>
      <c r="P68" s="84" t="s">
        <v>395</v>
      </c>
      <c r="Q68" s="98"/>
      <c r="R68" s="85"/>
      <c r="S68" s="85"/>
      <c r="T68" s="77"/>
      <c r="U68" s="77"/>
      <c r="V68" s="77"/>
      <c r="W68" s="77"/>
      <c r="X68" s="77"/>
      <c r="Y68" s="77"/>
      <c r="Z68" s="99"/>
      <c r="AA68" s="99"/>
      <c r="AB68" s="9"/>
      <c r="AC68" s="119"/>
      <c r="AD68" s="120"/>
      <c r="AE68" s="120"/>
      <c r="AF68" s="120"/>
      <c r="AG68" s="77"/>
      <c r="AH68" s="77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5"/>
      <c r="BD68" s="5"/>
    </row>
    <row r="69" spans="1:56" ht="12.75" hidden="1" customHeight="1">
      <c r="A69" s="6"/>
      <c r="B69" s="85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9"/>
      <c r="N69" s="86"/>
      <c r="O69" s="84"/>
      <c r="P69" s="84"/>
      <c r="Q69" s="85"/>
      <c r="R69" s="85"/>
      <c r="S69" s="85"/>
      <c r="T69" s="77"/>
      <c r="U69" s="77"/>
      <c r="V69" s="77"/>
      <c r="W69" s="77"/>
      <c r="X69" s="77"/>
      <c r="Y69" s="77"/>
      <c r="Z69" s="99"/>
      <c r="AA69" s="99"/>
      <c r="AB69" s="9"/>
      <c r="AC69" s="119"/>
      <c r="AD69" s="120"/>
      <c r="AE69" s="120"/>
      <c r="AF69" s="120"/>
      <c r="AG69" s="77"/>
      <c r="AH69" s="77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6" hidden="1" customHeight="1">
      <c r="A70" s="6"/>
      <c r="B70" s="85"/>
      <c r="C70" s="84" t="s">
        <v>102</v>
      </c>
      <c r="D70" s="84"/>
      <c r="E70" s="84"/>
      <c r="F70" s="84"/>
      <c r="G70" s="85"/>
      <c r="H70" s="86" t="s">
        <v>103</v>
      </c>
      <c r="I70" s="86">
        <v>25</v>
      </c>
      <c r="J70" s="86"/>
      <c r="K70" s="1852" t="s">
        <v>132</v>
      </c>
      <c r="L70" s="1852"/>
      <c r="M70" s="1852"/>
      <c r="N70" s="1852"/>
      <c r="O70" s="1852"/>
      <c r="P70" s="84"/>
      <c r="Q70" s="85"/>
      <c r="R70" s="85"/>
      <c r="S70" s="85"/>
      <c r="T70" s="77"/>
      <c r="U70" s="77"/>
      <c r="V70" s="77"/>
      <c r="W70" s="77"/>
      <c r="X70" s="77"/>
      <c r="Y70" s="77"/>
      <c r="Z70" s="99"/>
      <c r="AA70" s="99"/>
      <c r="AB70" s="9"/>
      <c r="AC70" s="119"/>
      <c r="AD70" s="120"/>
      <c r="AE70" s="120"/>
      <c r="AF70" s="84" t="s">
        <v>102</v>
      </c>
      <c r="AG70" s="84"/>
      <c r="AH70" s="84"/>
      <c r="AI70" s="84"/>
      <c r="AJ70" s="85"/>
      <c r="AK70" s="86" t="s">
        <v>103</v>
      </c>
      <c r="AL70" s="86">
        <v>40</v>
      </c>
      <c r="AM70" s="86"/>
      <c r="AN70" s="1852" t="s">
        <v>132</v>
      </c>
      <c r="AO70" s="1852"/>
      <c r="AP70" s="1852"/>
      <c r="AQ70" s="1852"/>
      <c r="AR70" s="1852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8.25" customHeight="1">
      <c r="A71" s="6"/>
      <c r="B71" s="85"/>
      <c r="C71" s="84"/>
      <c r="D71" s="84"/>
      <c r="E71" s="84"/>
      <c r="F71" s="84"/>
      <c r="G71" s="85"/>
      <c r="H71" s="86"/>
      <c r="I71" s="86"/>
      <c r="J71" s="86"/>
      <c r="K71" s="118"/>
      <c r="L71" s="118"/>
      <c r="M71" s="118"/>
      <c r="N71" s="118"/>
      <c r="O71" s="118"/>
      <c r="P71" s="84"/>
      <c r="Q71" s="85"/>
      <c r="R71" s="85"/>
      <c r="S71" s="85"/>
      <c r="T71" s="77"/>
      <c r="U71" s="77"/>
      <c r="V71" s="77"/>
      <c r="W71" s="77"/>
      <c r="X71" s="77"/>
      <c r="Y71" s="77"/>
      <c r="Z71" s="99"/>
      <c r="AA71" s="99"/>
      <c r="AB71" s="9"/>
      <c r="AC71" s="119"/>
      <c r="AD71" s="120"/>
      <c r="AE71" s="120"/>
      <c r="AF71" s="84"/>
      <c r="AG71" s="84"/>
      <c r="AH71" s="84"/>
      <c r="AI71" s="84"/>
      <c r="AJ71" s="85"/>
      <c r="AK71" s="86"/>
      <c r="AL71" s="86"/>
      <c r="AM71" s="86"/>
      <c r="AN71" s="118"/>
      <c r="AO71" s="118"/>
      <c r="AP71" s="118"/>
      <c r="AQ71" s="118"/>
      <c r="AR71" s="118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8" customHeight="1">
      <c r="A72" s="6"/>
      <c r="B72" s="85"/>
      <c r="C72" s="84" t="s">
        <v>102</v>
      </c>
      <c r="D72" s="84"/>
      <c r="E72" s="84"/>
      <c r="F72" s="84"/>
      <c r="G72" s="85"/>
      <c r="H72" s="86" t="s">
        <v>103</v>
      </c>
      <c r="I72" s="87">
        <v>35</v>
      </c>
      <c r="J72" s="86"/>
      <c r="K72" s="1852" t="s">
        <v>104</v>
      </c>
      <c r="L72" s="1852"/>
      <c r="M72" s="1852"/>
      <c r="N72" s="1852"/>
      <c r="O72" s="1852"/>
      <c r="P72" s="84"/>
      <c r="Q72" s="85"/>
      <c r="R72" s="85"/>
      <c r="S72" s="85"/>
      <c r="T72" s="77"/>
      <c r="U72" s="77"/>
      <c r="V72" s="77"/>
      <c r="W72" s="77"/>
      <c r="X72" s="77"/>
      <c r="Y72" s="77"/>
      <c r="Z72" s="99"/>
      <c r="AA72" s="99"/>
      <c r="AB72" s="9"/>
      <c r="AC72" s="119"/>
      <c r="AD72" s="120"/>
      <c r="AE72" s="120"/>
      <c r="AF72" s="84" t="s">
        <v>102</v>
      </c>
      <c r="AG72" s="84"/>
      <c r="AH72" s="84"/>
      <c r="AI72" s="84"/>
      <c r="AJ72" s="85"/>
      <c r="AK72" s="86" t="s">
        <v>103</v>
      </c>
      <c r="AL72" s="87">
        <v>214</v>
      </c>
      <c r="AM72" s="86"/>
      <c r="AN72" s="1852" t="s">
        <v>104</v>
      </c>
      <c r="AO72" s="1852"/>
      <c r="AP72" s="1852"/>
      <c r="AQ72" s="1852"/>
      <c r="AR72" s="1852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25" customHeight="1">
      <c r="A73" s="6"/>
      <c r="B73" s="80" t="s">
        <v>101</v>
      </c>
      <c r="C73" s="84" t="s">
        <v>120</v>
      </c>
      <c r="D73" s="84"/>
      <c r="E73" s="84"/>
      <c r="F73" s="84"/>
      <c r="G73" s="84"/>
      <c r="H73" s="84"/>
      <c r="I73" s="86" t="s">
        <v>103</v>
      </c>
      <c r="J73" s="1850">
        <f>MIN(M74:N78)</f>
        <v>38</v>
      </c>
      <c r="K73" s="1850"/>
      <c r="L73" s="84" t="s">
        <v>121</v>
      </c>
      <c r="M73" s="84"/>
      <c r="N73" s="84"/>
      <c r="O73" s="84"/>
      <c r="P73" s="84"/>
      <c r="Q73" s="85"/>
      <c r="R73" s="85"/>
      <c r="S73" s="85"/>
      <c r="T73" s="77"/>
      <c r="U73" s="77"/>
      <c r="V73" s="77"/>
      <c r="W73" s="77"/>
      <c r="X73" s="77"/>
      <c r="Y73" s="77"/>
      <c r="Z73" s="99"/>
      <c r="AA73" s="99"/>
      <c r="AB73" s="9"/>
      <c r="AC73" s="119"/>
      <c r="AD73" s="120"/>
      <c r="AE73" s="80" t="s">
        <v>101</v>
      </c>
      <c r="AF73" s="84" t="s">
        <v>120</v>
      </c>
      <c r="AG73" s="84"/>
      <c r="AH73" s="84"/>
      <c r="AI73" s="84"/>
      <c r="AJ73" s="84"/>
      <c r="AK73" s="84"/>
      <c r="AL73" s="86" t="s">
        <v>103</v>
      </c>
      <c r="AM73" s="1850">
        <v>40</v>
      </c>
      <c r="AN73" s="1850"/>
      <c r="AO73" s="84" t="s">
        <v>121</v>
      </c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20.25" customHeight="1">
      <c r="A74" s="6"/>
      <c r="B74" s="81"/>
      <c r="C74" s="86" t="s">
        <v>107</v>
      </c>
      <c r="D74" s="84" t="s">
        <v>108</v>
      </c>
      <c r="E74" s="84"/>
      <c r="F74" s="84"/>
      <c r="G74" s="84"/>
      <c r="H74" s="84" t="s">
        <v>122</v>
      </c>
      <c r="I74" s="84"/>
      <c r="J74" s="84"/>
      <c r="K74" s="84"/>
      <c r="L74" s="84" t="s">
        <v>110</v>
      </c>
      <c r="M74" s="1850">
        <f>ROUND(SQRT(12*I72)+20,0)</f>
        <v>40</v>
      </c>
      <c r="N74" s="1850"/>
      <c r="O74" s="84"/>
      <c r="P74" s="84"/>
      <c r="Q74" s="85"/>
      <c r="R74" s="85"/>
      <c r="S74" s="85"/>
      <c r="T74" s="77"/>
      <c r="U74" s="77"/>
      <c r="V74" s="77"/>
      <c r="W74" s="77"/>
      <c r="X74" s="77"/>
      <c r="Y74" s="77"/>
      <c r="Z74" s="99"/>
      <c r="AA74" s="99"/>
      <c r="AB74" s="9"/>
      <c r="AC74" s="119"/>
      <c r="AD74" s="120"/>
      <c r="AE74" s="81"/>
      <c r="AF74" s="86" t="s">
        <v>107</v>
      </c>
      <c r="AG74" s="84" t="s">
        <v>108</v>
      </c>
      <c r="AH74" s="84"/>
      <c r="AI74" s="84"/>
      <c r="AJ74" s="84"/>
      <c r="AK74" s="84" t="s">
        <v>122</v>
      </c>
      <c r="AL74" s="84"/>
      <c r="AM74" s="84"/>
      <c r="AN74" s="84"/>
      <c r="AO74" s="84" t="s">
        <v>110</v>
      </c>
      <c r="AP74" s="1850">
        <f>ROUND(SQRT(12*AL72)+20,0)</f>
        <v>71</v>
      </c>
      <c r="AQ74" s="1850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25" customHeight="1">
      <c r="A75" s="6"/>
      <c r="B75" s="81"/>
      <c r="C75" s="86" t="s">
        <v>107</v>
      </c>
      <c r="D75" s="84" t="s">
        <v>123</v>
      </c>
      <c r="E75" s="84"/>
      <c r="F75" s="84"/>
      <c r="G75" s="84"/>
      <c r="H75" s="84" t="s">
        <v>124</v>
      </c>
      <c r="I75" s="84"/>
      <c r="J75" s="84"/>
      <c r="K75" s="84"/>
      <c r="L75" s="84" t="s">
        <v>110</v>
      </c>
      <c r="M75" s="1850">
        <f>ROUND(0.25*I72+32.5,0)</f>
        <v>41</v>
      </c>
      <c r="N75" s="1850"/>
      <c r="O75" s="84"/>
      <c r="P75" s="84"/>
      <c r="Q75" s="85"/>
      <c r="R75" s="85"/>
      <c r="S75" s="85"/>
      <c r="T75" s="77"/>
      <c r="U75" s="77"/>
      <c r="V75" s="77"/>
      <c r="W75" s="77"/>
      <c r="X75" s="77"/>
      <c r="Y75" s="77"/>
      <c r="Z75" s="99"/>
      <c r="AA75" s="99"/>
      <c r="AB75" s="9"/>
      <c r="AC75" s="119"/>
      <c r="AD75" s="120"/>
      <c r="AE75" s="81"/>
      <c r="AF75" s="86" t="s">
        <v>107</v>
      </c>
      <c r="AG75" s="84" t="s">
        <v>123</v>
      </c>
      <c r="AH75" s="84"/>
      <c r="AI75" s="84"/>
      <c r="AJ75" s="84"/>
      <c r="AK75" s="84" t="s">
        <v>124</v>
      </c>
      <c r="AL75" s="84"/>
      <c r="AM75" s="84"/>
      <c r="AN75" s="84"/>
      <c r="AO75" s="84" t="s">
        <v>110</v>
      </c>
      <c r="AP75" s="1850">
        <f>ROUND(0.25*AL72+32.5,0)</f>
        <v>86</v>
      </c>
      <c r="AQ75" s="1850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22.5" customHeight="1">
      <c r="A76" s="6"/>
      <c r="B76" s="81"/>
      <c r="C76" s="86" t="s">
        <v>107</v>
      </c>
      <c r="D76" s="84" t="s">
        <v>125</v>
      </c>
      <c r="E76" s="84"/>
      <c r="F76" s="84"/>
      <c r="G76" s="84"/>
      <c r="H76" s="84" t="s">
        <v>126</v>
      </c>
      <c r="I76" s="84"/>
      <c r="J76" s="84"/>
      <c r="K76" s="84"/>
      <c r="L76" s="84" t="s">
        <v>110</v>
      </c>
      <c r="M76" s="1850">
        <f>ROUND(0.3*I72+27,0)</f>
        <v>38</v>
      </c>
      <c r="N76" s="1850"/>
      <c r="O76" s="84"/>
      <c r="P76" s="84"/>
      <c r="Q76" s="85"/>
      <c r="R76" s="85"/>
      <c r="S76" s="85"/>
      <c r="T76" s="77"/>
      <c r="U76" s="77"/>
      <c r="V76" s="77"/>
      <c r="W76" s="77"/>
      <c r="X76" s="77"/>
      <c r="Y76" s="77"/>
      <c r="Z76" s="99"/>
      <c r="AA76" s="99"/>
      <c r="AB76" s="9"/>
      <c r="AC76" s="119"/>
      <c r="AD76" s="120"/>
      <c r="AE76" s="81"/>
      <c r="AF76" s="86" t="s">
        <v>107</v>
      </c>
      <c r="AG76" s="84" t="s">
        <v>125</v>
      </c>
      <c r="AH76" s="84"/>
      <c r="AI76" s="84"/>
      <c r="AJ76" s="84"/>
      <c r="AK76" s="84" t="s">
        <v>126</v>
      </c>
      <c r="AL76" s="84"/>
      <c r="AM76" s="84"/>
      <c r="AN76" s="84"/>
      <c r="AO76" s="84" t="s">
        <v>110</v>
      </c>
      <c r="AP76" s="1850">
        <f>ROUND(0.3*AL72+27,0)</f>
        <v>91</v>
      </c>
      <c r="AQ76" s="1850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22.5" customHeight="1">
      <c r="A77" s="6"/>
      <c r="B77" s="81"/>
      <c r="C77" s="86" t="s">
        <v>107</v>
      </c>
      <c r="D77" s="84" t="s">
        <v>114</v>
      </c>
      <c r="E77" s="84"/>
      <c r="F77" s="84"/>
      <c r="G77" s="84"/>
      <c r="H77" s="84" t="s">
        <v>127</v>
      </c>
      <c r="I77" s="84"/>
      <c r="J77" s="84"/>
      <c r="K77" s="84"/>
      <c r="L77" s="84" t="s">
        <v>110</v>
      </c>
      <c r="M77" s="1850">
        <f>ROUND(SQRT(20*I72)+15,0)</f>
        <v>41</v>
      </c>
      <c r="N77" s="1850"/>
      <c r="O77" s="84"/>
      <c r="P77" s="84"/>
      <c r="Q77" s="85"/>
      <c r="R77" s="85"/>
      <c r="S77" s="85"/>
      <c r="T77" s="77"/>
      <c r="U77" s="77"/>
      <c r="V77" s="77"/>
      <c r="W77" s="77"/>
      <c r="X77" s="77"/>
      <c r="Y77" s="77"/>
      <c r="Z77" s="99"/>
      <c r="AA77" s="99"/>
      <c r="AB77" s="9"/>
      <c r="AC77" s="119"/>
      <c r="AD77" s="120"/>
      <c r="AE77" s="81"/>
      <c r="AF77" s="86" t="s">
        <v>107</v>
      </c>
      <c r="AG77" s="84" t="s">
        <v>114</v>
      </c>
      <c r="AH77" s="84"/>
      <c r="AI77" s="84"/>
      <c r="AJ77" s="84"/>
      <c r="AK77" s="84" t="s">
        <v>127</v>
      </c>
      <c r="AL77" s="84"/>
      <c r="AM77" s="84"/>
      <c r="AN77" s="84"/>
      <c r="AO77" s="84" t="s">
        <v>110</v>
      </c>
      <c r="AP77" s="1850">
        <f>ROUND(SQRT(20*AL72)+15,0)</f>
        <v>80</v>
      </c>
      <c r="AQ77" s="1850"/>
      <c r="AR77" s="84"/>
      <c r="AS77" s="84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21" customHeight="1">
      <c r="A78" s="6"/>
      <c r="B78" s="81"/>
      <c r="C78" s="86" t="s">
        <v>107</v>
      </c>
      <c r="D78" s="84" t="s">
        <v>128</v>
      </c>
      <c r="E78" s="84"/>
      <c r="F78" s="84"/>
      <c r="G78" s="84"/>
      <c r="H78" s="84" t="s">
        <v>129</v>
      </c>
      <c r="I78" s="84"/>
      <c r="J78" s="84"/>
      <c r="K78" s="84"/>
      <c r="L78" s="84" t="s">
        <v>110</v>
      </c>
      <c r="M78" s="1850">
        <f>ROUND(SQRT(15*I72)+15,0)</f>
        <v>38</v>
      </c>
      <c r="N78" s="1850"/>
      <c r="O78" s="84"/>
      <c r="P78" s="84"/>
      <c r="Q78" s="85"/>
      <c r="R78" s="85"/>
      <c r="S78" s="85"/>
      <c r="T78" s="77"/>
      <c r="U78" s="77"/>
      <c r="V78" s="77"/>
      <c r="W78" s="77"/>
      <c r="X78" s="77"/>
      <c r="Y78" s="77"/>
      <c r="Z78" s="99"/>
      <c r="AA78" s="99"/>
      <c r="AB78" s="9"/>
      <c r="AC78" s="119"/>
      <c r="AD78" s="120"/>
      <c r="AE78" s="81"/>
      <c r="AF78" s="86" t="s">
        <v>107</v>
      </c>
      <c r="AG78" s="84" t="s">
        <v>128</v>
      </c>
      <c r="AH78" s="84"/>
      <c r="AI78" s="84"/>
      <c r="AJ78" s="84"/>
      <c r="AK78" s="84" t="s">
        <v>129</v>
      </c>
      <c r="AL78" s="84"/>
      <c r="AM78" s="84"/>
      <c r="AN78" s="84"/>
      <c r="AO78" s="84" t="s">
        <v>110</v>
      </c>
      <c r="AP78" s="1850">
        <f>ROUND(SQRT(15*AL72)+15,0)</f>
        <v>72</v>
      </c>
      <c r="AQ78" s="1850"/>
      <c r="AR78" s="84"/>
      <c r="AS78" s="84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21" customHeight="1">
      <c r="A79" s="6"/>
      <c r="B79" s="85"/>
      <c r="C79" s="84" t="s">
        <v>133</v>
      </c>
      <c r="D79" s="84"/>
      <c r="E79" s="84"/>
      <c r="F79" s="84"/>
      <c r="G79" s="84"/>
      <c r="H79" s="84"/>
      <c r="I79" s="84"/>
      <c r="J79" s="84" t="s">
        <v>103</v>
      </c>
      <c r="K79" s="84"/>
      <c r="L79" s="84">
        <f>+M78</f>
        <v>38</v>
      </c>
      <c r="M79" s="121" t="s">
        <v>131</v>
      </c>
      <c r="N79" s="86"/>
      <c r="O79" s="84"/>
      <c r="P79" s="84" t="s">
        <v>134</v>
      </c>
      <c r="Q79" s="98"/>
      <c r="R79" s="85"/>
      <c r="S79" s="85"/>
      <c r="T79" s="77"/>
      <c r="U79" s="77"/>
      <c r="V79" s="77"/>
      <c r="W79" s="77"/>
      <c r="X79" s="77"/>
      <c r="Y79" s="77"/>
      <c r="Z79" s="99"/>
      <c r="AA79" s="99"/>
      <c r="AB79" s="9"/>
      <c r="AC79" s="119"/>
      <c r="AD79" s="120"/>
      <c r="AE79" s="85"/>
      <c r="AF79" s="84" t="s">
        <v>135</v>
      </c>
      <c r="AG79" s="84"/>
      <c r="AH79" s="84"/>
      <c r="AI79" s="84"/>
      <c r="AJ79" s="84"/>
      <c r="AK79" s="84"/>
      <c r="AL79" s="84"/>
      <c r="AM79" s="84" t="s">
        <v>103</v>
      </c>
      <c r="AN79" s="84"/>
      <c r="AO79" s="84">
        <f>+AP78</f>
        <v>72</v>
      </c>
      <c r="AP79" s="121" t="s">
        <v>131</v>
      </c>
      <c r="AQ79" s="86"/>
      <c r="AR79" s="84"/>
      <c r="AS79" s="84" t="s">
        <v>136</v>
      </c>
      <c r="AT79" s="98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9.75" customHeight="1">
      <c r="A80" s="6"/>
      <c r="B80" s="85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9"/>
      <c r="N80" s="86"/>
      <c r="O80" s="84"/>
      <c r="P80" s="84"/>
      <c r="Q80" s="85"/>
      <c r="R80" s="85"/>
      <c r="S80" s="85"/>
      <c r="T80" s="77"/>
      <c r="U80" s="77"/>
      <c r="V80" s="77"/>
      <c r="W80" s="77"/>
      <c r="X80" s="77"/>
      <c r="Y80" s="77"/>
      <c r="Z80" s="99"/>
      <c r="AA80" s="99"/>
      <c r="AB80" s="9"/>
      <c r="AC80" s="119"/>
      <c r="AD80" s="120"/>
      <c r="AE80" s="120"/>
      <c r="AF80" s="120"/>
      <c r="AG80" s="77"/>
      <c r="AH80" s="77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4" ht="21" customHeight="1">
      <c r="A81" s="6"/>
      <c r="B81" s="90" t="s">
        <v>137</v>
      </c>
      <c r="C81" s="122" t="s">
        <v>398</v>
      </c>
      <c r="D81" s="81"/>
      <c r="E81" s="81"/>
      <c r="F81" s="81"/>
      <c r="G81" s="81"/>
      <c r="H81" s="81"/>
      <c r="I81" s="81"/>
      <c r="J81" s="81"/>
      <c r="K81" s="81"/>
      <c r="L81" s="123"/>
      <c r="M81" s="124"/>
      <c r="N81" s="80"/>
      <c r="O81" s="81"/>
      <c r="P81" s="81"/>
      <c r="Q81" s="77"/>
      <c r="R81" s="77"/>
      <c r="S81" s="77"/>
      <c r="T81" s="77"/>
      <c r="U81" s="99"/>
      <c r="V81" s="99"/>
      <c r="W81" s="77"/>
      <c r="X81" s="119"/>
      <c r="Y81" s="120"/>
      <c r="Z81" s="120"/>
      <c r="AA81" s="120"/>
      <c r="AB81" s="2"/>
      <c r="AC81" s="77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125"/>
      <c r="AY81" s="125"/>
      <c r="AZ81" s="85"/>
      <c r="BA81" s="85"/>
      <c r="BB81" s="85"/>
    </row>
    <row r="82" spans="1:54" ht="17.25" customHeight="1">
      <c r="A82" s="6"/>
      <c r="B82" s="80" t="s">
        <v>101</v>
      </c>
      <c r="C82" s="81" t="s">
        <v>399</v>
      </c>
      <c r="D82" s="81"/>
      <c r="E82" s="81"/>
      <c r="F82" s="81"/>
      <c r="G82" s="81"/>
      <c r="H82" s="81"/>
      <c r="I82" s="81"/>
      <c r="J82" s="126" t="s">
        <v>138</v>
      </c>
      <c r="K82" s="81"/>
      <c r="L82" s="85"/>
      <c r="M82" s="124"/>
      <c r="N82" s="80"/>
      <c r="O82" s="81"/>
      <c r="P82" s="81"/>
      <c r="Q82" s="77"/>
      <c r="R82" s="77"/>
      <c r="S82" s="77"/>
      <c r="T82" s="77"/>
      <c r="U82" s="99"/>
      <c r="V82" s="99"/>
      <c r="W82" s="77"/>
      <c r="X82" s="119"/>
      <c r="Y82" s="120"/>
      <c r="Z82" s="120"/>
      <c r="AA82" s="120"/>
      <c r="AB82" s="2"/>
      <c r="AC82" s="77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125"/>
      <c r="AY82" s="125"/>
      <c r="AZ82" s="85"/>
      <c r="BA82" s="85"/>
      <c r="BB82" s="85"/>
    </row>
    <row r="83" spans="1:54" ht="16.5" customHeight="1">
      <c r="A83" s="6"/>
      <c r="B83" s="85"/>
      <c r="C83" s="81"/>
      <c r="D83" s="81"/>
      <c r="E83" s="81"/>
      <c r="F83" s="81"/>
      <c r="G83" s="81"/>
      <c r="H83" s="81"/>
      <c r="I83" s="81"/>
      <c r="J83" s="81" t="s">
        <v>139</v>
      </c>
      <c r="K83" s="81"/>
      <c r="L83" s="123"/>
      <c r="M83" s="124"/>
      <c r="N83" s="80"/>
      <c r="O83" s="81"/>
      <c r="P83" s="81"/>
      <c r="Q83" s="77"/>
      <c r="R83" s="77"/>
      <c r="S83" s="77"/>
      <c r="T83" s="77"/>
      <c r="U83" s="99"/>
      <c r="V83" s="99"/>
      <c r="W83" s="77"/>
      <c r="X83" s="119"/>
      <c r="Y83" s="120"/>
      <c r="Z83" s="120"/>
      <c r="AA83" s="120"/>
      <c r="AB83" s="2"/>
      <c r="AC83" s="9"/>
    </row>
    <row r="84" spans="1:54" ht="12.75" customHeight="1">
      <c r="A84" s="6"/>
      <c r="B84" s="85"/>
      <c r="C84" s="81"/>
      <c r="D84" s="81"/>
      <c r="E84" s="81"/>
      <c r="F84" s="81"/>
      <c r="G84" s="81"/>
      <c r="H84" s="81"/>
      <c r="I84" s="81"/>
      <c r="J84" s="81"/>
      <c r="K84" s="81"/>
      <c r="L84" s="123"/>
      <c r="M84" s="124"/>
      <c r="N84" s="80"/>
      <c r="O84" s="81"/>
      <c r="P84" s="81"/>
      <c r="Q84" s="77"/>
      <c r="R84" s="77"/>
      <c r="S84" s="77"/>
      <c r="T84" s="77"/>
      <c r="U84" s="99"/>
      <c r="V84" s="99"/>
      <c r="W84" s="77"/>
      <c r="X84" s="119"/>
      <c r="Y84" s="120"/>
      <c r="Z84" s="120"/>
      <c r="AA84" s="120"/>
      <c r="AB84" s="2"/>
      <c r="AC84" s="9"/>
    </row>
    <row r="85" spans="1:54" ht="15" customHeight="1">
      <c r="A85" s="6"/>
      <c r="B85" s="127" t="s">
        <v>140</v>
      </c>
      <c r="C85" s="128" t="s">
        <v>141</v>
      </c>
      <c r="D85" s="127"/>
      <c r="E85" s="127"/>
      <c r="F85" s="6"/>
      <c r="G85" s="74"/>
      <c r="H85" s="74"/>
      <c r="I85" s="74"/>
      <c r="J85" s="73"/>
      <c r="K85" s="73"/>
      <c r="L85" s="76"/>
      <c r="M85" s="76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119"/>
      <c r="Y85" s="129"/>
      <c r="Z85" s="129"/>
      <c r="AA85" s="129"/>
      <c r="AB85" s="2"/>
      <c r="AC85" s="9"/>
    </row>
    <row r="86" spans="1:54" ht="17.25" customHeight="1">
      <c r="A86" s="130"/>
      <c r="B86" s="131"/>
      <c r="C86" s="85" t="s">
        <v>142</v>
      </c>
      <c r="D86" s="85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85"/>
      <c r="AA86" s="85"/>
      <c r="AC86" s="9"/>
    </row>
    <row r="87" spans="1:54" ht="17.25" customHeight="1">
      <c r="A87" s="130"/>
      <c r="B87" s="1843" t="s">
        <v>143</v>
      </c>
      <c r="C87" s="1844"/>
      <c r="D87" s="1844"/>
      <c r="E87" s="1845" t="s">
        <v>144</v>
      </c>
      <c r="F87" s="1845"/>
      <c r="G87" s="1845"/>
      <c r="H87" s="1845"/>
      <c r="I87" s="1845" t="s">
        <v>145</v>
      </c>
      <c r="J87" s="1845"/>
      <c r="K87" s="1845"/>
      <c r="L87" s="1845"/>
      <c r="M87" s="1845"/>
      <c r="N87" s="1845"/>
      <c r="O87" s="1845" t="s">
        <v>146</v>
      </c>
      <c r="P87" s="1845"/>
      <c r="Q87" s="1845"/>
      <c r="R87" s="1845"/>
      <c r="S87" s="1845"/>
      <c r="T87" s="1845"/>
      <c r="U87" s="1845" t="s">
        <v>147</v>
      </c>
      <c r="V87" s="1845"/>
      <c r="W87" s="1845"/>
      <c r="X87" s="1845"/>
      <c r="Y87" s="1845"/>
      <c r="Z87" s="1846"/>
      <c r="AA87" s="85"/>
      <c r="AB87" s="9"/>
      <c r="AW87" s="5"/>
      <c r="AY87" s="3"/>
    </row>
    <row r="88" spans="1:54" ht="17.25" customHeight="1">
      <c r="A88" s="130"/>
      <c r="B88" s="1847" t="s">
        <v>148</v>
      </c>
      <c r="C88" s="1848"/>
      <c r="D88" s="1848"/>
      <c r="E88" s="1849" t="s">
        <v>149</v>
      </c>
      <c r="F88" s="1849"/>
      <c r="G88" s="1849"/>
      <c r="H88" s="1849"/>
      <c r="I88" s="1849" t="s">
        <v>150</v>
      </c>
      <c r="J88" s="1849"/>
      <c r="K88" s="1849"/>
      <c r="L88" s="1849"/>
      <c r="M88" s="1849"/>
      <c r="N88" s="1849"/>
      <c r="O88" s="1849" t="s">
        <v>151</v>
      </c>
      <c r="P88" s="1849"/>
      <c r="Q88" s="1849"/>
      <c r="R88" s="1849"/>
      <c r="S88" s="1849"/>
      <c r="T88" s="1849"/>
      <c r="U88" s="1849" t="s">
        <v>152</v>
      </c>
      <c r="V88" s="1849"/>
      <c r="W88" s="1849"/>
      <c r="X88" s="1849"/>
      <c r="Y88" s="1849"/>
      <c r="Z88" s="1236"/>
      <c r="AA88" s="85"/>
      <c r="AB88" s="9"/>
      <c r="AW88" s="5"/>
      <c r="AY88" s="3"/>
    </row>
    <row r="89" spans="1:54" ht="17.25" customHeight="1">
      <c r="A89" s="130"/>
      <c r="B89" s="1836" t="s">
        <v>56</v>
      </c>
      <c r="C89" s="1837"/>
      <c r="D89" s="1837"/>
      <c r="E89" s="1838"/>
      <c r="F89" s="1838"/>
      <c r="G89" s="1838"/>
      <c r="H89" s="1838"/>
      <c r="I89" s="1838"/>
      <c r="J89" s="1838"/>
      <c r="K89" s="1838"/>
      <c r="L89" s="1838"/>
      <c r="M89" s="1838"/>
      <c r="N89" s="1838"/>
      <c r="O89" s="1838" t="s">
        <v>153</v>
      </c>
      <c r="P89" s="1838"/>
      <c r="Q89" s="1838"/>
      <c r="R89" s="1838"/>
      <c r="S89" s="1838"/>
      <c r="T89" s="1838"/>
      <c r="U89" s="1838" t="s">
        <v>154</v>
      </c>
      <c r="V89" s="1838"/>
      <c r="W89" s="1838"/>
      <c r="X89" s="1838"/>
      <c r="Y89" s="1838"/>
      <c r="Z89" s="1839"/>
      <c r="AA89" s="85"/>
      <c r="AB89" s="9"/>
      <c r="AW89" s="5"/>
      <c r="AY89" s="3"/>
    </row>
    <row r="90" spans="1:54" ht="17.25" customHeight="1">
      <c r="A90" s="130"/>
      <c r="B90" s="130"/>
      <c r="C90" s="130"/>
      <c r="D90" s="130"/>
      <c r="E90" s="133"/>
      <c r="F90" s="130"/>
      <c r="G90" s="130"/>
      <c r="H90" s="130"/>
      <c r="I90" s="130"/>
      <c r="J90" s="133"/>
      <c r="K90" s="130"/>
      <c r="L90" s="130"/>
      <c r="M90" s="130"/>
      <c r="N90" s="130"/>
      <c r="O90" s="134"/>
      <c r="P90" s="134"/>
      <c r="Q90" s="134"/>
      <c r="R90" s="135"/>
      <c r="S90" s="133"/>
      <c r="T90" s="133"/>
      <c r="U90" s="133"/>
      <c r="V90" s="135"/>
      <c r="W90" s="133"/>
      <c r="X90" s="133"/>
      <c r="Y90" s="133"/>
      <c r="Z90" s="133"/>
      <c r="AA90" s="133"/>
      <c r="AC90" s="2"/>
    </row>
    <row r="91" spans="1:54" ht="17.25" customHeight="1">
      <c r="A91" s="136"/>
      <c r="B91" s="137"/>
      <c r="C91" s="137"/>
      <c r="D91" s="137"/>
      <c r="E91" s="138"/>
      <c r="F91" s="137"/>
      <c r="G91" s="137"/>
      <c r="H91" s="137"/>
      <c r="I91" s="137"/>
      <c r="J91" s="138"/>
      <c r="K91" s="137"/>
      <c r="L91" s="137"/>
      <c r="M91" s="137"/>
      <c r="N91" s="137"/>
      <c r="O91" s="139"/>
      <c r="P91" s="139"/>
      <c r="Q91" s="139"/>
      <c r="R91" s="137"/>
      <c r="S91" s="138"/>
      <c r="T91" s="138"/>
      <c r="U91" s="138"/>
      <c r="V91" s="137"/>
      <c r="W91" s="138"/>
      <c r="X91" s="138"/>
      <c r="Y91" s="138"/>
      <c r="Z91" s="138"/>
      <c r="AA91" s="138"/>
      <c r="AC91" s="2"/>
    </row>
    <row r="92" spans="1:54" ht="17.25" customHeight="1">
      <c r="A92" s="6"/>
      <c r="B92" s="7" t="s">
        <v>397</v>
      </c>
      <c r="C92" s="6"/>
      <c r="D92" s="6"/>
      <c r="E92" s="6"/>
      <c r="F92" s="6"/>
      <c r="G92" s="74"/>
      <c r="H92" s="74"/>
      <c r="I92" s="74"/>
      <c r="J92" s="73"/>
      <c r="K92" s="73"/>
      <c r="L92" s="76"/>
      <c r="M92" s="76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119"/>
      <c r="Y92" s="129"/>
      <c r="Z92" s="129"/>
      <c r="AA92" s="129"/>
      <c r="AB92" s="2"/>
      <c r="AC92" s="2"/>
    </row>
    <row r="93" spans="1:54" ht="20.25" customHeight="1">
      <c r="A93" s="6"/>
      <c r="B93" s="74"/>
      <c r="C93" s="6"/>
      <c r="D93" s="6"/>
      <c r="E93" s="6"/>
      <c r="F93" s="6"/>
      <c r="G93" s="74"/>
      <c r="H93" s="74"/>
      <c r="I93" s="74"/>
      <c r="J93" s="73"/>
      <c r="K93" s="73"/>
      <c r="L93" s="76"/>
      <c r="M93" s="76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119"/>
      <c r="Y93" s="129"/>
      <c r="Z93" s="129"/>
      <c r="AA93" s="129"/>
      <c r="AB93" s="2"/>
      <c r="AC93" s="2"/>
    </row>
    <row r="94" spans="1:54" ht="20.25" customHeight="1">
      <c r="A94" s="6"/>
      <c r="B94" s="90" t="s">
        <v>155</v>
      </c>
      <c r="C94" s="94" t="s">
        <v>400</v>
      </c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129"/>
      <c r="AB94" s="2"/>
      <c r="AC94" s="2"/>
    </row>
    <row r="95" spans="1:54" ht="17.25" customHeight="1">
      <c r="A95" s="6"/>
      <c r="B95" s="1840" t="s">
        <v>143</v>
      </c>
      <c r="C95" s="1841"/>
      <c r="D95" s="1841" t="s">
        <v>157</v>
      </c>
      <c r="E95" s="1841"/>
      <c r="F95" s="1841"/>
      <c r="G95" s="1841"/>
      <c r="H95" s="1842" t="s">
        <v>158</v>
      </c>
      <c r="I95" s="1842"/>
      <c r="J95" s="1841" t="s">
        <v>159</v>
      </c>
      <c r="K95" s="1841"/>
      <c r="L95" s="1841"/>
      <c r="M95" s="1841"/>
      <c r="N95" s="1824" t="s">
        <v>160</v>
      </c>
      <c r="O95" s="1824"/>
      <c r="P95" s="1824"/>
      <c r="Q95" s="1824" t="s">
        <v>401</v>
      </c>
      <c r="R95" s="1824"/>
      <c r="S95" s="1824"/>
      <c r="T95" s="1824"/>
      <c r="U95" s="1824" t="s">
        <v>162</v>
      </c>
      <c r="V95" s="1824"/>
      <c r="W95" s="1824"/>
      <c r="X95" s="1824"/>
      <c r="Y95" s="1824"/>
      <c r="Z95" s="1825"/>
      <c r="AA95" s="129"/>
      <c r="AB95" s="2"/>
      <c r="AC95" s="2"/>
      <c r="AD95" s="10" t="s">
        <v>163</v>
      </c>
      <c r="AE95" s="10" t="s">
        <v>164</v>
      </c>
      <c r="AF95" s="10"/>
    </row>
    <row r="96" spans="1:54" ht="21.75" customHeight="1">
      <c r="A96" s="6"/>
      <c r="B96" s="1826" t="s">
        <v>396</v>
      </c>
      <c r="C96" s="1827"/>
      <c r="D96" s="1827">
        <f>+G5</f>
        <v>8.4</v>
      </c>
      <c r="E96" s="1827"/>
      <c r="F96" s="1827"/>
      <c r="G96" s="1827"/>
      <c r="H96" s="1830">
        <f>+K5</f>
        <v>8.8000000000000007</v>
      </c>
      <c r="I96" s="1830"/>
      <c r="J96" s="1827">
        <f>+O5</f>
        <v>5.0999999999999996</v>
      </c>
      <c r="K96" s="1827"/>
      <c r="L96" s="1827"/>
      <c r="M96" s="1827"/>
      <c r="N96" s="1830">
        <f>+S5</f>
        <v>150</v>
      </c>
      <c r="O96" s="1830"/>
      <c r="P96" s="1830"/>
      <c r="Q96" s="1832">
        <v>500</v>
      </c>
      <c r="R96" s="1832"/>
      <c r="S96" s="1832"/>
      <c r="T96" s="1832"/>
      <c r="U96" s="1830">
        <v>0</v>
      </c>
      <c r="V96" s="1830"/>
      <c r="W96" s="1830"/>
      <c r="X96" s="1830"/>
      <c r="Y96" s="1830"/>
      <c r="Z96" s="1834"/>
      <c r="AA96" s="129"/>
      <c r="AB96" s="2"/>
      <c r="AC96" s="2"/>
    </row>
    <row r="97" spans="1:51" ht="17.25" customHeight="1">
      <c r="A97" s="6"/>
      <c r="B97" s="1828"/>
      <c r="C97" s="1829"/>
      <c r="D97" s="1829"/>
      <c r="E97" s="1829"/>
      <c r="F97" s="1829"/>
      <c r="G97" s="1829"/>
      <c r="H97" s="1831"/>
      <c r="I97" s="1831"/>
      <c r="J97" s="1829"/>
      <c r="K97" s="1829"/>
      <c r="L97" s="1829"/>
      <c r="M97" s="1829"/>
      <c r="N97" s="1831"/>
      <c r="O97" s="1831"/>
      <c r="P97" s="1831"/>
      <c r="Q97" s="1833"/>
      <c r="R97" s="1833"/>
      <c r="S97" s="1833"/>
      <c r="T97" s="1833"/>
      <c r="U97" s="1831"/>
      <c r="V97" s="1831"/>
      <c r="W97" s="1831"/>
      <c r="X97" s="1831"/>
      <c r="Y97" s="1831"/>
      <c r="Z97" s="1835"/>
      <c r="AA97" s="129"/>
      <c r="AB97" s="2"/>
      <c r="AC97" s="2"/>
    </row>
    <row r="98" spans="1:51" ht="17.25" customHeight="1">
      <c r="A98" s="6"/>
      <c r="B98" s="140"/>
      <c r="C98" s="140"/>
      <c r="D98" s="140"/>
      <c r="E98" s="140"/>
      <c r="F98" s="140"/>
      <c r="G98" s="140"/>
      <c r="H98" s="141"/>
      <c r="I98" s="141"/>
      <c r="J98" s="140"/>
      <c r="K98" s="140"/>
      <c r="L98" s="140"/>
      <c r="M98" s="140"/>
      <c r="N98" s="141"/>
      <c r="O98" s="141"/>
      <c r="P98" s="141"/>
      <c r="Q98" s="141"/>
      <c r="R98" s="141"/>
      <c r="S98" s="142"/>
      <c r="T98" s="142"/>
      <c r="U98" s="142"/>
      <c r="V98" s="142"/>
      <c r="W98" s="141"/>
      <c r="X98" s="141"/>
      <c r="Y98" s="141"/>
      <c r="Z98" s="141"/>
      <c r="AA98" s="129"/>
      <c r="AB98" s="2"/>
      <c r="AC98" s="2"/>
    </row>
    <row r="99" spans="1:51" ht="17.25" customHeight="1">
      <c r="A99" s="6"/>
      <c r="B99" s="143" t="s">
        <v>165</v>
      </c>
      <c r="C99" s="140"/>
      <c r="D99" s="140"/>
      <c r="F99" s="1242">
        <f>+AL126</f>
        <v>2.84</v>
      </c>
      <c r="G99" s="1242"/>
      <c r="H99" s="141" t="s">
        <v>184</v>
      </c>
      <c r="J99" s="144" t="s">
        <v>90</v>
      </c>
      <c r="K99" s="926">
        <f>ROUND(D96*F99,1)</f>
        <v>23.9</v>
      </c>
      <c r="L99" s="926"/>
      <c r="M99" s="926"/>
      <c r="N99" s="141"/>
      <c r="O99" s="141"/>
      <c r="P99" s="141"/>
      <c r="Q99" s="141"/>
      <c r="R99" s="141"/>
      <c r="S99" s="142"/>
      <c r="T99" s="142"/>
      <c r="U99" s="142"/>
      <c r="V99" s="142"/>
      <c r="W99" s="141"/>
      <c r="X99" s="141"/>
      <c r="Y99" s="141"/>
      <c r="Z99" s="141"/>
      <c r="AA99" s="129"/>
      <c r="AB99" s="2"/>
      <c r="AC99" s="2"/>
    </row>
    <row r="100" spans="1:51" ht="17.25" customHeight="1">
      <c r="A100" s="6"/>
      <c r="B100" s="140"/>
      <c r="C100" s="140"/>
      <c r="D100" s="140"/>
      <c r="E100" s="140"/>
      <c r="F100" s="140"/>
      <c r="G100" s="140"/>
      <c r="H100" s="141"/>
      <c r="I100" s="141"/>
      <c r="J100" s="140"/>
      <c r="K100" s="140"/>
      <c r="L100" s="140"/>
      <c r="M100" s="140"/>
      <c r="N100" s="141"/>
      <c r="O100" s="141"/>
      <c r="P100" s="141"/>
      <c r="Q100" s="141"/>
      <c r="R100" s="141"/>
      <c r="S100" s="142"/>
      <c r="T100" s="142"/>
      <c r="U100" s="142"/>
      <c r="V100" s="142"/>
      <c r="W100" s="141"/>
      <c r="X100" s="141"/>
      <c r="Y100" s="141"/>
      <c r="Z100" s="141"/>
      <c r="AA100" s="129"/>
      <c r="AB100" s="2"/>
      <c r="AC100" s="2"/>
    </row>
    <row r="101" spans="1:51" ht="17.25" customHeight="1">
      <c r="A101" s="6"/>
      <c r="B101" s="90" t="s">
        <v>166</v>
      </c>
      <c r="C101" s="74" t="s">
        <v>167</v>
      </c>
      <c r="D101" s="140"/>
      <c r="E101" s="140"/>
      <c r="F101" s="140"/>
      <c r="G101" s="140"/>
      <c r="H101" s="141"/>
      <c r="I101" s="141"/>
      <c r="J101" s="140"/>
      <c r="K101" s="140"/>
      <c r="L101" s="140"/>
      <c r="M101" s="140"/>
      <c r="N101" s="141"/>
      <c r="O101" s="141"/>
      <c r="P101" s="141"/>
      <c r="Q101" s="141"/>
      <c r="R101" s="141"/>
      <c r="S101" s="142"/>
      <c r="T101" s="142"/>
      <c r="U101" s="142"/>
      <c r="V101" s="142"/>
      <c r="W101" s="141"/>
      <c r="X101" s="141"/>
      <c r="Y101" s="141"/>
      <c r="Z101" s="141"/>
      <c r="AA101" s="129"/>
      <c r="AB101" s="2"/>
      <c r="AC101" s="2"/>
    </row>
    <row r="102" spans="1:51" ht="17.25" customHeight="1">
      <c r="A102" s="6"/>
      <c r="B102" s="140"/>
      <c r="C102" s="140"/>
      <c r="D102" s="140"/>
      <c r="E102" s="140"/>
      <c r="F102" s="140"/>
      <c r="G102" s="140"/>
      <c r="H102" s="141"/>
      <c r="I102" s="141"/>
      <c r="J102" s="140"/>
      <c r="K102" s="140"/>
      <c r="L102" s="140"/>
      <c r="M102" s="140"/>
      <c r="N102" s="141"/>
      <c r="O102" s="141"/>
      <c r="P102" s="141"/>
      <c r="Q102" s="141"/>
      <c r="R102" s="141"/>
      <c r="S102" s="142"/>
      <c r="T102" s="142"/>
      <c r="U102" s="142"/>
      <c r="V102" s="142"/>
      <c r="W102" s="141"/>
      <c r="X102" s="141"/>
      <c r="Y102" s="141"/>
      <c r="Z102" s="141"/>
      <c r="AA102" s="129"/>
      <c r="AB102" s="2"/>
      <c r="AC102" s="2"/>
    </row>
    <row r="103" spans="1:51" ht="17.25" customHeight="1">
      <c r="A103" s="6"/>
      <c r="D103" s="6"/>
      <c r="E103" s="6"/>
      <c r="F103" s="6"/>
      <c r="G103" s="74"/>
      <c r="H103" s="74"/>
      <c r="I103" s="74"/>
      <c r="J103" s="73"/>
      <c r="K103" s="73"/>
      <c r="L103" s="76"/>
      <c r="M103" s="76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119"/>
      <c r="Y103" s="129"/>
      <c r="Z103" s="129"/>
      <c r="AA103" s="129"/>
      <c r="AB103" s="2"/>
      <c r="AC103" s="2"/>
      <c r="AD103" s="145" t="s">
        <v>168</v>
      </c>
      <c r="AE103" s="145" t="s">
        <v>169</v>
      </c>
      <c r="AF103" s="145"/>
      <c r="AG103" s="145"/>
      <c r="AH103" s="145"/>
      <c r="AI103" s="145"/>
      <c r="AJ103" s="145"/>
      <c r="AK103" s="145"/>
      <c r="AL103" s="145"/>
    </row>
    <row r="104" spans="1:51" ht="21.75" customHeight="1">
      <c r="A104" s="6"/>
      <c r="B104" s="7"/>
      <c r="C104" s="6"/>
      <c r="D104" s="6"/>
      <c r="E104" s="6"/>
      <c r="F104" s="6"/>
      <c r="G104" s="74"/>
      <c r="H104" s="74"/>
      <c r="I104" s="74"/>
      <c r="J104" s="73"/>
      <c r="K104" s="73"/>
      <c r="L104" s="76"/>
      <c r="M104" s="76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119"/>
      <c r="Z104" s="146"/>
      <c r="AA104" s="76"/>
      <c r="AB104" s="46"/>
      <c r="AC104" s="2"/>
      <c r="AD104" s="145" t="s">
        <v>170</v>
      </c>
      <c r="AE104" s="145" t="s">
        <v>171</v>
      </c>
    </row>
    <row r="105" spans="1:51" ht="17.25" customHeight="1">
      <c r="A105" s="6"/>
      <c r="B105" s="1803" t="s">
        <v>48</v>
      </c>
      <c r="C105" s="1804"/>
      <c r="D105" s="1820" t="s">
        <v>49</v>
      </c>
      <c r="E105" s="1820"/>
      <c r="F105" s="1820"/>
      <c r="G105" s="1821"/>
      <c r="H105" s="1822" t="s">
        <v>50</v>
      </c>
      <c r="I105" s="1820"/>
      <c r="J105" s="1821"/>
      <c r="K105" s="1823" t="s">
        <v>51</v>
      </c>
      <c r="L105" s="1803"/>
      <c r="M105" s="1804"/>
      <c r="N105" s="1803" t="s">
        <v>52</v>
      </c>
      <c r="O105" s="1804"/>
      <c r="P105" s="1805" t="s">
        <v>53</v>
      </c>
      <c r="Q105" s="1806"/>
      <c r="R105" s="1807" t="s">
        <v>54</v>
      </c>
      <c r="S105" s="1808"/>
      <c r="T105" s="1809"/>
      <c r="U105" s="1807" t="s">
        <v>55</v>
      </c>
      <c r="V105" s="1808"/>
      <c r="W105" s="1809"/>
      <c r="X105" s="1810" t="s">
        <v>172</v>
      </c>
      <c r="Y105" s="1811"/>
      <c r="Z105" s="1811"/>
      <c r="AA105" s="77"/>
      <c r="AD105" s="1814" t="s">
        <v>57</v>
      </c>
      <c r="AE105" s="1814"/>
      <c r="AF105" s="1815"/>
      <c r="AG105" s="1786" t="s">
        <v>58</v>
      </c>
      <c r="AH105" s="1787"/>
      <c r="AI105" s="1788"/>
      <c r="AV105" s="5"/>
      <c r="AW105" s="5"/>
      <c r="AX105" s="3"/>
      <c r="AY105" s="3"/>
    </row>
    <row r="106" spans="1:51" ht="24" customHeight="1">
      <c r="A106" s="6"/>
      <c r="B106" s="1818"/>
      <c r="C106" s="1819"/>
      <c r="D106" s="1792" t="s">
        <v>14</v>
      </c>
      <c r="E106" s="1792"/>
      <c r="F106" s="1792"/>
      <c r="G106" s="1793"/>
      <c r="H106" s="1794" t="s">
        <v>14</v>
      </c>
      <c r="I106" s="1795"/>
      <c r="J106" s="1796"/>
      <c r="K106" s="1797" t="s">
        <v>15</v>
      </c>
      <c r="L106" s="1798"/>
      <c r="M106" s="1799"/>
      <c r="N106" s="1798" t="s">
        <v>15</v>
      </c>
      <c r="O106" s="1799"/>
      <c r="P106" s="1798"/>
      <c r="Q106" s="1799"/>
      <c r="R106" s="1797" t="s">
        <v>61</v>
      </c>
      <c r="S106" s="1798"/>
      <c r="T106" s="1799"/>
      <c r="U106" s="1800" t="s">
        <v>15</v>
      </c>
      <c r="V106" s="1801"/>
      <c r="W106" s="1802"/>
      <c r="X106" s="1812"/>
      <c r="Y106" s="1813"/>
      <c r="Z106" s="1813"/>
      <c r="AA106" s="77"/>
      <c r="AD106" s="1816"/>
      <c r="AE106" s="1816"/>
      <c r="AF106" s="1817"/>
      <c r="AG106" s="1789"/>
      <c r="AH106" s="1790"/>
      <c r="AI106" s="1791"/>
      <c r="AV106" s="5"/>
      <c r="AW106" s="5"/>
      <c r="AX106" s="3"/>
      <c r="AY106" s="3"/>
    </row>
    <row r="107" spans="1:51" ht="17.25" customHeight="1">
      <c r="A107" s="6"/>
      <c r="B107" s="1771" t="s">
        <v>402</v>
      </c>
      <c r="C107" s="927"/>
      <c r="D107" s="1785">
        <v>5.0999999999999996</v>
      </c>
      <c r="E107" s="1785"/>
      <c r="F107" s="1773">
        <v>5.6</v>
      </c>
      <c r="G107" s="1773"/>
      <c r="H107" s="870">
        <f>F107-D107</f>
        <v>0.5</v>
      </c>
      <c r="I107" s="870"/>
      <c r="J107" s="870"/>
      <c r="K107" s="1774">
        <v>19</v>
      </c>
      <c r="L107" s="1774"/>
      <c r="M107" s="1774"/>
      <c r="N107" s="1775">
        <f>AD57</f>
        <v>0</v>
      </c>
      <c r="O107" s="1775"/>
      <c r="P107" s="1035">
        <f>N107*H107</f>
        <v>0</v>
      </c>
      <c r="Q107" s="1035"/>
      <c r="R107" s="927">
        <v>42</v>
      </c>
      <c r="S107" s="927"/>
      <c r="T107" s="927"/>
      <c r="U107" s="1216">
        <f>+J426</f>
        <v>200000</v>
      </c>
      <c r="V107" s="1216"/>
      <c r="W107" s="1216"/>
      <c r="X107" s="933"/>
      <c r="Y107" s="933"/>
      <c r="Z107" s="934"/>
      <c r="AA107" s="77"/>
      <c r="AD107" s="1782">
        <f>+ROUND(RADIANS(R107),4)</f>
        <v>0.73299999999999998</v>
      </c>
      <c r="AE107" s="1783"/>
      <c r="AF107" s="1784"/>
      <c r="AG107" s="1782">
        <f>+ROUND(TAN(AD107)*H107,4)</f>
        <v>0.45019999999999999</v>
      </c>
      <c r="AH107" s="1783"/>
      <c r="AI107" s="1784"/>
      <c r="AV107" s="5"/>
      <c r="AW107" s="5"/>
      <c r="AX107" s="3"/>
      <c r="AY107" s="3"/>
    </row>
    <row r="108" spans="1:51" ht="17.25" customHeight="1">
      <c r="A108" s="6"/>
      <c r="B108" s="1771" t="str">
        <f>+B12</f>
        <v>퇴적층</v>
      </c>
      <c r="C108" s="927"/>
      <c r="D108" s="1772">
        <f>+F107</f>
        <v>5.6</v>
      </c>
      <c r="E108" s="1772"/>
      <c r="F108" s="1773">
        <v>8</v>
      </c>
      <c r="G108" s="1773"/>
      <c r="H108" s="870">
        <f>F108-D108</f>
        <v>2.4000000000000004</v>
      </c>
      <c r="I108" s="870"/>
      <c r="J108" s="870"/>
      <c r="K108" s="1774">
        <f t="shared" ref="K108:K109" si="10">VLOOKUP(B108,$B$11:$Z$15,10,FALSE)</f>
        <v>18</v>
      </c>
      <c r="L108" s="1774"/>
      <c r="M108" s="1774"/>
      <c r="N108" s="1775">
        <f>VLOOKUP(B108,$B$11:$W$15,13,FALSE)</f>
        <v>3</v>
      </c>
      <c r="O108" s="1775"/>
      <c r="P108" s="1035">
        <f>N108*H108</f>
        <v>7.2000000000000011</v>
      </c>
      <c r="Q108" s="1035"/>
      <c r="R108" s="927">
        <f>+VLOOKUP(B108,$B$11:$W$15,17,FALSE)</f>
        <v>23</v>
      </c>
      <c r="S108" s="927"/>
      <c r="T108" s="927"/>
      <c r="U108" s="1216">
        <f>+VLOOKUP(B108,$B$11:$W$15,20,FALSE)</f>
        <v>30000</v>
      </c>
      <c r="V108" s="1216"/>
      <c r="W108" s="1216"/>
      <c r="X108" s="933"/>
      <c r="Y108" s="933"/>
      <c r="Z108" s="934"/>
      <c r="AA108" s="77"/>
      <c r="AD108" s="1782">
        <f>+ROUND(RADIANS(R108),4)</f>
        <v>0.40139999999999998</v>
      </c>
      <c r="AE108" s="1783"/>
      <c r="AF108" s="1784"/>
      <c r="AG108" s="1782">
        <f>+ROUND(TAN(AD108)*H108,4)</f>
        <v>1.0186999999999999</v>
      </c>
      <c r="AH108" s="1783"/>
      <c r="AI108" s="1784"/>
      <c r="AV108" s="5"/>
      <c r="AW108" s="5"/>
      <c r="AX108" s="3"/>
      <c r="AY108" s="3"/>
    </row>
    <row r="109" spans="1:51" ht="17.25" customHeight="1">
      <c r="A109" s="6"/>
      <c r="B109" s="1771" t="str">
        <f t="shared" ref="B109:B110" si="11">+B13</f>
        <v>풍화토</v>
      </c>
      <c r="C109" s="927"/>
      <c r="D109" s="1772">
        <f>+F108</f>
        <v>8</v>
      </c>
      <c r="E109" s="1772"/>
      <c r="F109" s="1773">
        <v>20</v>
      </c>
      <c r="G109" s="1773"/>
      <c r="H109" s="870">
        <f>F109-D109</f>
        <v>12</v>
      </c>
      <c r="I109" s="870"/>
      <c r="J109" s="870"/>
      <c r="K109" s="1774">
        <f t="shared" si="10"/>
        <v>19</v>
      </c>
      <c r="L109" s="1774"/>
      <c r="M109" s="1774"/>
      <c r="N109" s="1775">
        <f t="shared" ref="N109:N110" si="12">VLOOKUP(B109,$B$11:$W$15,13,FALSE)</f>
        <v>5</v>
      </c>
      <c r="O109" s="1775"/>
      <c r="P109" s="1035">
        <f>N109*H109</f>
        <v>60</v>
      </c>
      <c r="Q109" s="1035"/>
      <c r="R109" s="927">
        <f t="shared" ref="R109:R110" si="13">+VLOOKUP(B109,$B$11:$W$15,17,FALSE)</f>
        <v>25</v>
      </c>
      <c r="S109" s="927"/>
      <c r="T109" s="927"/>
      <c r="U109" s="1216">
        <f t="shared" ref="U109:U110" si="14">+VLOOKUP(B109,$B$11:$W$15,20,FALSE)</f>
        <v>27000</v>
      </c>
      <c r="V109" s="1216"/>
      <c r="W109" s="1216"/>
      <c r="X109" s="933"/>
      <c r="Y109" s="933"/>
      <c r="Z109" s="934"/>
      <c r="AA109" s="77"/>
      <c r="AD109" s="1776">
        <f>+ROUND(RADIANS(R109),4)</f>
        <v>0.43630000000000002</v>
      </c>
      <c r="AE109" s="1777"/>
      <c r="AF109" s="1778"/>
      <c r="AG109" s="1779">
        <f>+ROUND(TAN(AD109)*H109,5)</f>
        <v>5.5952200000000003</v>
      </c>
      <c r="AH109" s="1780"/>
      <c r="AI109" s="1781"/>
      <c r="AV109" s="5"/>
      <c r="AW109" s="5"/>
      <c r="AX109" s="3"/>
      <c r="AY109" s="3"/>
    </row>
    <row r="110" spans="1:51" ht="17.25" customHeight="1">
      <c r="A110" s="6"/>
      <c r="B110" s="1771" t="str">
        <f t="shared" si="11"/>
        <v>풍화암</v>
      </c>
      <c r="C110" s="927"/>
      <c r="D110" s="1772">
        <f>F109</f>
        <v>20</v>
      </c>
      <c r="E110" s="1772"/>
      <c r="F110" s="1773">
        <v>22</v>
      </c>
      <c r="G110" s="1773"/>
      <c r="H110" s="855">
        <f>F110-D110</f>
        <v>2</v>
      </c>
      <c r="I110" s="855"/>
      <c r="J110" s="855"/>
      <c r="K110" s="1774">
        <f>VLOOKUP(B110,$B$11:$Z$15,10,FALSE)</f>
        <v>20</v>
      </c>
      <c r="L110" s="1774"/>
      <c r="M110" s="1774"/>
      <c r="N110" s="1775">
        <f t="shared" si="12"/>
        <v>10</v>
      </c>
      <c r="O110" s="1775"/>
      <c r="P110" s="1035">
        <f>N110*H110</f>
        <v>20</v>
      </c>
      <c r="Q110" s="1035"/>
      <c r="R110" s="927">
        <f t="shared" si="13"/>
        <v>27</v>
      </c>
      <c r="S110" s="927"/>
      <c r="T110" s="927"/>
      <c r="U110" s="1216">
        <f t="shared" si="14"/>
        <v>264000</v>
      </c>
      <c r="V110" s="1216"/>
      <c r="W110" s="1216"/>
      <c r="X110" s="933"/>
      <c r="Y110" s="933"/>
      <c r="Z110" s="934"/>
      <c r="AA110" s="77"/>
      <c r="AD110" s="1776">
        <f>+ROUND(RADIANS(R110),4)</f>
        <v>0.47120000000000001</v>
      </c>
      <c r="AE110" s="1777"/>
      <c r="AF110" s="1778"/>
      <c r="AG110" s="1779">
        <f>+ROUND(TAN(AD110)*H110,5)</f>
        <v>1.01895</v>
      </c>
      <c r="AH110" s="1780"/>
      <c r="AI110" s="1781"/>
      <c r="AV110" s="5"/>
      <c r="AW110" s="5"/>
      <c r="AX110" s="3"/>
      <c r="AY110" s="3"/>
    </row>
    <row r="111" spans="1:51" ht="17.25" customHeight="1">
      <c r="A111" s="6"/>
      <c r="B111" s="1771"/>
      <c r="C111" s="927"/>
      <c r="D111" s="1772"/>
      <c r="E111" s="1773"/>
      <c r="F111" s="1773"/>
      <c r="G111" s="1773"/>
      <c r="H111" s="855">
        <f>F111-D111</f>
        <v>0</v>
      </c>
      <c r="I111" s="855"/>
      <c r="J111" s="855"/>
      <c r="K111" s="1774"/>
      <c r="L111" s="1774"/>
      <c r="M111" s="1774"/>
      <c r="N111" s="1775"/>
      <c r="O111" s="1775"/>
      <c r="P111" s="1035"/>
      <c r="Q111" s="1035"/>
      <c r="R111" s="927"/>
      <c r="S111" s="927"/>
      <c r="T111" s="927"/>
      <c r="U111" s="1216"/>
      <c r="V111" s="1216"/>
      <c r="W111" s="1216"/>
      <c r="X111" s="933"/>
      <c r="Y111" s="933"/>
      <c r="Z111" s="934"/>
      <c r="AA111" s="77"/>
      <c r="AD111" s="1768">
        <f>+ROUND(RADIANS(R111),4)</f>
        <v>0</v>
      </c>
      <c r="AE111" s="1769"/>
      <c r="AF111" s="1770"/>
      <c r="AG111" s="1768">
        <f>+ROUND(TAN(AD111)*H111,4)</f>
        <v>0</v>
      </c>
      <c r="AH111" s="1769"/>
      <c r="AI111" s="1770"/>
      <c r="AV111" s="5"/>
      <c r="AW111" s="5"/>
      <c r="AX111" s="3"/>
      <c r="AY111" s="3"/>
    </row>
    <row r="112" spans="1:51" ht="17.25" customHeight="1">
      <c r="A112" s="6"/>
      <c r="B112" s="858" t="s">
        <v>77</v>
      </c>
      <c r="C112" s="858"/>
      <c r="D112" s="858"/>
      <c r="E112" s="858"/>
      <c r="F112" s="858"/>
      <c r="G112" s="858"/>
      <c r="H112" s="857">
        <f>ROUND(SUM(H107:J111),2)</f>
        <v>16.899999999999999</v>
      </c>
      <c r="I112" s="857"/>
      <c r="J112" s="857"/>
      <c r="K112" s="1226"/>
      <c r="L112" s="1226"/>
      <c r="M112" s="1226"/>
      <c r="N112" s="1299"/>
      <c r="O112" s="1299"/>
      <c r="P112" s="1301">
        <f>SUM(P107:Q111)</f>
        <v>87.2</v>
      </c>
      <c r="Q112" s="1301"/>
      <c r="R112" s="1302"/>
      <c r="S112" s="1302"/>
      <c r="T112" s="1302"/>
      <c r="U112" s="1270"/>
      <c r="V112" s="1270"/>
      <c r="W112" s="1270"/>
      <c r="X112" s="1271"/>
      <c r="Y112" s="1271"/>
      <c r="Z112" s="1272"/>
      <c r="AA112" s="77"/>
      <c r="AD112" s="1761"/>
      <c r="AE112" s="1762"/>
      <c r="AF112" s="1763"/>
      <c r="AG112" s="1764">
        <f>SUM(AG107:AG111)</f>
        <v>8.0830699999999993</v>
      </c>
      <c r="AH112" s="1765"/>
      <c r="AI112" s="1766"/>
      <c r="AV112" s="5"/>
      <c r="AW112" s="5"/>
      <c r="AX112" s="3"/>
      <c r="AY112" s="3"/>
    </row>
    <row r="113" spans="1:55" ht="17.25" customHeight="1">
      <c r="A113" s="6"/>
      <c r="B113" s="147"/>
      <c r="C113" s="147"/>
      <c r="D113" s="147"/>
      <c r="E113" s="147"/>
      <c r="F113" s="147"/>
      <c r="G113" s="147"/>
      <c r="H113" s="148"/>
      <c r="I113" s="148"/>
      <c r="J113" s="149"/>
      <c r="K113" s="150"/>
      <c r="L113" s="150"/>
      <c r="M113" s="150"/>
      <c r="N113" s="151"/>
      <c r="O113" s="151"/>
      <c r="P113" s="152"/>
      <c r="Q113" s="152"/>
      <c r="R113" s="150"/>
      <c r="S113" s="150"/>
      <c r="T113" s="153"/>
      <c r="U113" s="153"/>
      <c r="V113" s="153"/>
      <c r="W113" s="154"/>
      <c r="X113" s="154"/>
      <c r="Y113" s="154"/>
      <c r="Z113" s="155"/>
      <c r="AA113" s="155"/>
      <c r="AB113" s="156"/>
      <c r="AC113" s="2"/>
      <c r="AD113" s="1761" t="s">
        <v>81</v>
      </c>
      <c r="AE113" s="1762"/>
      <c r="AF113" s="1763"/>
      <c r="AG113" s="1767">
        <f>ROUND(+AG112/H112,5)</f>
        <v>0.47828999999999999</v>
      </c>
      <c r="AH113" s="1767"/>
      <c r="AI113" s="1767"/>
      <c r="AV113" s="5"/>
      <c r="AW113" s="5"/>
      <c r="AX113" s="3"/>
      <c r="AY113" s="3"/>
    </row>
    <row r="114" spans="1:55" ht="17.25" customHeight="1">
      <c r="A114" s="6"/>
      <c r="B114" s="157"/>
      <c r="C114" s="157"/>
      <c r="D114" s="158"/>
      <c r="E114" s="158"/>
      <c r="F114" s="157"/>
      <c r="G114" s="158"/>
      <c r="H114" s="158"/>
      <c r="I114" s="74"/>
      <c r="J114" s="76"/>
      <c r="K114" s="1760"/>
      <c r="L114" s="1760"/>
      <c r="M114" s="1760"/>
      <c r="N114" s="1760"/>
      <c r="O114" s="1760"/>
      <c r="P114" s="1760"/>
      <c r="Q114" s="1760"/>
      <c r="R114" s="1760"/>
      <c r="S114" s="1760"/>
      <c r="T114" s="1760"/>
      <c r="U114" s="1760"/>
      <c r="V114" s="1760"/>
      <c r="W114" s="1760"/>
      <c r="X114" s="76"/>
      <c r="Y114" s="85"/>
      <c r="Z114" s="85"/>
      <c r="AA114" s="85"/>
      <c r="AB114" s="9"/>
      <c r="AC114" s="2"/>
      <c r="AD114" s="1761" t="s">
        <v>174</v>
      </c>
      <c r="AE114" s="1762"/>
      <c r="AF114" s="1763"/>
      <c r="AG114" s="1065">
        <f>+ROUND(ATAN(AG113),3)</f>
        <v>0.44600000000000001</v>
      </c>
      <c r="AH114" s="1065"/>
      <c r="AI114" s="1065"/>
      <c r="AV114" s="5"/>
      <c r="AW114" s="5"/>
      <c r="AX114" s="3"/>
      <c r="AY114" s="3"/>
    </row>
    <row r="115" spans="1:55" ht="17.25" customHeight="1">
      <c r="A115" s="6"/>
      <c r="B115" s="157"/>
      <c r="C115" s="157"/>
      <c r="D115" s="158"/>
      <c r="E115" s="158"/>
      <c r="F115" s="157"/>
      <c r="G115" s="158"/>
      <c r="H115" s="158"/>
      <c r="I115" s="74"/>
      <c r="J115" s="76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6"/>
      <c r="Y115" s="129"/>
      <c r="Z115" s="129"/>
      <c r="AA115" s="129"/>
      <c r="AB115" s="9"/>
      <c r="AC115" s="2"/>
      <c r="AD115" s="1761" t="s">
        <v>175</v>
      </c>
      <c r="AE115" s="1762"/>
      <c r="AF115" s="1763"/>
      <c r="AG115" s="1065">
        <f>ROUND(DEGREES(AG114),2)</f>
        <v>25.55</v>
      </c>
      <c r="AH115" s="1065"/>
      <c r="AI115" s="1065"/>
      <c r="AV115" s="5"/>
      <c r="AW115" s="5"/>
      <c r="AX115" s="3"/>
      <c r="AY115" s="3"/>
    </row>
    <row r="116" spans="1:55" ht="17.25" customHeight="1">
      <c r="A116" s="6"/>
      <c r="B116" s="157" t="s">
        <v>176</v>
      </c>
      <c r="C116" s="157"/>
      <c r="D116" s="158"/>
      <c r="E116" s="158"/>
      <c r="F116" s="157"/>
      <c r="G116" s="158"/>
      <c r="H116" s="158"/>
      <c r="I116" s="74" t="s">
        <v>89</v>
      </c>
      <c r="J116" s="76"/>
      <c r="K116" s="73" t="str">
        <f>P112&amp;" / ("&amp;H112&amp;")"</f>
        <v>87.2 / (16.9)</v>
      </c>
      <c r="L116" s="76"/>
      <c r="M116" s="76"/>
      <c r="N116" s="77"/>
      <c r="O116" s="77"/>
      <c r="P116" s="77"/>
      <c r="Q116" s="77"/>
      <c r="R116" s="77"/>
      <c r="S116" s="77"/>
      <c r="T116" s="119" t="s">
        <v>90</v>
      </c>
      <c r="U116" s="1268">
        <f>+ROUND($P$112/($H$112),2)</f>
        <v>5.16</v>
      </c>
      <c r="V116" s="1268"/>
      <c r="W116" s="1268"/>
      <c r="X116" s="77"/>
      <c r="Y116" s="77"/>
      <c r="Z116" s="85"/>
      <c r="AA116" s="85"/>
      <c r="AT116" s="5"/>
      <c r="AU116" s="5"/>
      <c r="AX116" s="3"/>
      <c r="AY116" s="3"/>
    </row>
    <row r="117" spans="1:55" ht="17.25" customHeight="1">
      <c r="A117" s="6"/>
      <c r="AD117" s="73" t="s">
        <v>177</v>
      </c>
      <c r="AE117" s="157"/>
      <c r="AF117" s="158"/>
      <c r="AG117" s="158"/>
      <c r="AH117" s="157"/>
      <c r="AI117" s="74" t="s">
        <v>90</v>
      </c>
      <c r="AJ117" s="73" t="str">
        <f>"RADIAN(" &amp; AG113 &amp; ") "</f>
        <v xml:space="preserve">RADIAN(0.47829) </v>
      </c>
      <c r="AL117" s="76"/>
      <c r="AM117" s="119" t="s">
        <v>90</v>
      </c>
      <c r="AN117" s="1280">
        <f>ROUND(ATAN(AG113),4)</f>
        <v>0.4461</v>
      </c>
      <c r="AO117" s="1280"/>
      <c r="AP117" s="1280"/>
      <c r="AQ117" s="77" t="s">
        <v>178</v>
      </c>
      <c r="AR117" s="77"/>
      <c r="AS117" s="77"/>
      <c r="AT117" s="77"/>
      <c r="AU117" s="77"/>
      <c r="BA117" s="77"/>
      <c r="BB117" s="85"/>
      <c r="BC117" s="85"/>
    </row>
    <row r="118" spans="1:55" ht="17.25" customHeight="1">
      <c r="A118" s="6"/>
      <c r="B118" s="157"/>
      <c r="C118" s="157"/>
      <c r="D118" s="158"/>
      <c r="E118" s="158"/>
      <c r="F118" s="157"/>
      <c r="G118" s="158"/>
      <c r="H118" s="158"/>
      <c r="I118" s="74"/>
      <c r="J118" s="76"/>
      <c r="K118" s="73"/>
      <c r="L118" s="76"/>
      <c r="M118" s="76"/>
      <c r="N118" s="77"/>
      <c r="O118" s="77"/>
      <c r="P118" s="77"/>
      <c r="Q118" s="77"/>
      <c r="R118" s="77"/>
      <c r="S118" s="77"/>
      <c r="T118" s="119"/>
      <c r="U118" s="160"/>
      <c r="V118" s="160"/>
      <c r="W118" s="160"/>
      <c r="X118" s="77"/>
      <c r="Y118" s="77"/>
      <c r="Z118" s="85"/>
      <c r="AA118" s="85"/>
      <c r="AT118" s="5"/>
      <c r="AU118" s="5"/>
      <c r="AX118" s="3"/>
      <c r="AY118" s="3"/>
    </row>
    <row r="119" spans="1:55" ht="18" customHeight="1">
      <c r="A119" s="6"/>
      <c r="B119" s="157" t="s">
        <v>94</v>
      </c>
      <c r="C119" s="157"/>
      <c r="D119" s="158"/>
      <c r="E119" s="158"/>
      <c r="F119" s="157"/>
      <c r="G119" s="158"/>
      <c r="H119" s="158"/>
      <c r="I119" s="74"/>
      <c r="J119" s="76"/>
      <c r="K119" s="161" t="str">
        <f>"DEGREE(" &amp; AN117 &amp; ") "</f>
        <v xml:space="preserve">DEGREE(0.4461) </v>
      </c>
      <c r="L119" s="162"/>
      <c r="M119" s="162"/>
      <c r="N119" s="163"/>
      <c r="O119" s="163"/>
      <c r="P119" s="163"/>
      <c r="Q119" s="77"/>
      <c r="R119" s="77"/>
      <c r="S119" s="77"/>
      <c r="T119" s="119" t="s">
        <v>90</v>
      </c>
      <c r="U119" s="1268">
        <f>ROUND(DEGREES(AN117),2)</f>
        <v>25.56</v>
      </c>
      <c r="V119" s="1268"/>
      <c r="W119" s="1268"/>
      <c r="X119" s="163" t="s">
        <v>95</v>
      </c>
      <c r="Y119" s="163"/>
      <c r="AA119" s="163"/>
      <c r="AD119" t="s">
        <v>179</v>
      </c>
      <c r="AE119" s="85"/>
      <c r="AF119" s="85">
        <f>+K108</f>
        <v>18</v>
      </c>
      <c r="AG119" s="164" t="s">
        <v>180</v>
      </c>
      <c r="AH119" s="85">
        <f>+D96</f>
        <v>8.4</v>
      </c>
      <c r="AI119" s="165" t="s">
        <v>181</v>
      </c>
      <c r="AJ119" s="85">
        <f>+AK120</f>
        <v>10.32</v>
      </c>
      <c r="AK119" s="166" t="s">
        <v>90</v>
      </c>
      <c r="AL119" s="1757">
        <f>+AF119*AH119/AJ119</f>
        <v>14.651162790697676</v>
      </c>
      <c r="AM119" s="1757"/>
      <c r="AN119" s="167"/>
      <c r="AQ119" t="s">
        <v>182</v>
      </c>
      <c r="AR119" t="s">
        <v>51</v>
      </c>
      <c r="AT119" s="5"/>
      <c r="AU119" s="5"/>
      <c r="AX119" s="3"/>
      <c r="AY119" s="3"/>
    </row>
    <row r="120" spans="1:55" ht="18" customHeight="1">
      <c r="A120" s="6"/>
      <c r="B120" s="76"/>
      <c r="C120" s="76"/>
      <c r="D120" s="6"/>
      <c r="E120" s="6"/>
      <c r="F120" s="76"/>
      <c r="G120" s="6"/>
      <c r="H120" s="6"/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/>
      <c r="U120" s="168"/>
      <c r="V120" s="168"/>
      <c r="W120" s="168"/>
      <c r="X120" s="163"/>
      <c r="Y120" s="77"/>
      <c r="Z120" s="85"/>
      <c r="AA120" s="85"/>
      <c r="AD120" t="s">
        <v>183</v>
      </c>
      <c r="AE120" s="85"/>
      <c r="AF120" s="85">
        <v>2</v>
      </c>
      <c r="AG120" s="164" t="s">
        <v>180</v>
      </c>
      <c r="AH120" s="1262">
        <f>+U116</f>
        <v>5.16</v>
      </c>
      <c r="AI120" s="1262"/>
      <c r="AJ120" s="164" t="s">
        <v>90</v>
      </c>
      <c r="AK120">
        <f>+AH120*AF120</f>
        <v>10.32</v>
      </c>
      <c r="AL120" s="169"/>
      <c r="AM120" s="169"/>
      <c r="AN120"/>
      <c r="AQ120" t="s">
        <v>184</v>
      </c>
      <c r="AR120" t="s">
        <v>185</v>
      </c>
      <c r="AT120" s="5"/>
      <c r="AU120" s="5"/>
      <c r="AX120" s="3"/>
      <c r="AY120" s="3"/>
    </row>
    <row r="121" spans="1:55" ht="18" customHeight="1">
      <c r="A121" s="6"/>
      <c r="B121" s="74"/>
      <c r="C121" s="76"/>
      <c r="D121" s="6"/>
      <c r="E121" s="6"/>
      <c r="F121" s="76"/>
      <c r="G121" s="6"/>
      <c r="H121" s="6"/>
      <c r="I121" s="74"/>
      <c r="J121" s="76"/>
      <c r="K121" s="161"/>
      <c r="L121" s="76"/>
      <c r="M121" s="76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119"/>
      <c r="Y121" s="129"/>
      <c r="Z121" s="129"/>
      <c r="AA121" s="129"/>
      <c r="AB121" s="62"/>
      <c r="AC121" s="9"/>
      <c r="AD121"/>
      <c r="AE121" s="85"/>
      <c r="AF121" s="85"/>
      <c r="AG121" s="85"/>
      <c r="AH121" s="85"/>
      <c r="AI121" s="85"/>
      <c r="AJ121" s="85"/>
      <c r="AK121"/>
      <c r="AL121"/>
      <c r="AM121"/>
      <c r="AN121"/>
      <c r="AQ121" t="s">
        <v>186</v>
      </c>
      <c r="AR121" t="s">
        <v>187</v>
      </c>
    </row>
    <row r="122" spans="1:55" ht="18" customHeight="1">
      <c r="A122" s="6"/>
      <c r="B122" s="76"/>
      <c r="C122" s="73"/>
      <c r="D122" s="74"/>
      <c r="E122" s="6"/>
      <c r="F122" s="76"/>
      <c r="G122" s="6"/>
      <c r="H122" s="6"/>
      <c r="I122" s="74"/>
      <c r="J122" s="76"/>
      <c r="K122" s="161"/>
      <c r="L122" s="76"/>
      <c r="M122" s="76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119"/>
      <c r="Y122" s="129"/>
      <c r="Z122" s="129"/>
      <c r="AA122" s="129"/>
      <c r="AB122" s="62"/>
      <c r="AC122" s="9"/>
      <c r="AD122" t="s">
        <v>188</v>
      </c>
      <c r="AE122"/>
      <c r="AF122"/>
      <c r="AG122"/>
      <c r="AH122"/>
      <c r="AI122"/>
      <c r="AJ122"/>
      <c r="AK122"/>
      <c r="AL122" s="1758">
        <f>+U119</f>
        <v>25.56</v>
      </c>
      <c r="AM122" s="1759"/>
    </row>
    <row r="123" spans="1:55" ht="18" customHeight="1">
      <c r="A123" s="6"/>
      <c r="B123" s="76"/>
      <c r="C123" s="73"/>
      <c r="D123" s="74"/>
      <c r="E123" s="6"/>
      <c r="F123" s="76"/>
      <c r="G123" s="6"/>
      <c r="H123" s="6"/>
      <c r="I123" s="82"/>
      <c r="J123" s="82"/>
      <c r="K123" s="161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119"/>
      <c r="Y123" s="129"/>
      <c r="Z123" s="129"/>
      <c r="AA123" s="129"/>
      <c r="AB123" s="62"/>
      <c r="AC123" s="2"/>
    </row>
    <row r="124" spans="1:55" ht="18" customHeight="1">
      <c r="A124" s="6"/>
      <c r="B124" s="76"/>
      <c r="C124" s="73"/>
      <c r="D124" s="74"/>
      <c r="E124" s="6"/>
      <c r="F124" s="76"/>
      <c r="G124" s="6"/>
      <c r="H124" s="6"/>
      <c r="I124" s="82"/>
      <c r="J124" s="82"/>
      <c r="K124" s="161"/>
      <c r="L124" s="76"/>
      <c r="M124" s="76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119"/>
      <c r="Y124" s="129"/>
      <c r="Z124" s="129"/>
      <c r="AA124" s="129"/>
      <c r="AB124" s="62"/>
      <c r="AC124" s="170"/>
      <c r="AD124" s="171" t="s">
        <v>189</v>
      </c>
      <c r="AL124" s="1759">
        <v>0.49</v>
      </c>
      <c r="AM124" s="1759"/>
    </row>
    <row r="125" spans="1:55" ht="18" customHeight="1">
      <c r="A125" s="6"/>
      <c r="B125" s="76"/>
      <c r="C125" s="73"/>
      <c r="D125" s="74"/>
      <c r="E125" s="6"/>
      <c r="F125" s="76"/>
      <c r="G125" s="6"/>
      <c r="H125" s="6"/>
      <c r="I125" s="82"/>
      <c r="J125" s="82"/>
      <c r="K125" s="161"/>
      <c r="L125" s="76"/>
      <c r="M125" s="76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119"/>
      <c r="Y125" s="129"/>
      <c r="Z125" s="129"/>
      <c r="AA125" s="129"/>
      <c r="AB125" s="62"/>
      <c r="AC125" s="170"/>
      <c r="AL125" s="172"/>
      <c r="AM125" s="172"/>
    </row>
    <row r="126" spans="1:55" ht="18" customHeight="1">
      <c r="A126" s="6"/>
      <c r="B126" s="76"/>
      <c r="C126" s="73"/>
      <c r="D126" s="74"/>
      <c r="E126" s="6"/>
      <c r="F126" s="76"/>
      <c r="G126" s="6"/>
      <c r="H126" s="6"/>
      <c r="I126" s="74"/>
      <c r="J126" s="76"/>
      <c r="K126" s="161"/>
      <c r="L126" s="76"/>
      <c r="M126" s="76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119"/>
      <c r="Y126" s="129"/>
      <c r="Z126" s="129"/>
      <c r="AA126" s="129"/>
      <c r="AB126" s="62"/>
      <c r="AC126" s="170"/>
      <c r="AD126" s="85" t="s">
        <v>190</v>
      </c>
      <c r="AL126" s="1756">
        <v>2.84</v>
      </c>
      <c r="AM126" s="1756"/>
    </row>
    <row r="127" spans="1:55" ht="17.25" customHeight="1">
      <c r="A127" s="6"/>
      <c r="B127" s="76"/>
      <c r="C127" s="73"/>
      <c r="D127" s="74"/>
      <c r="E127" s="6"/>
      <c r="F127" s="76"/>
      <c r="G127" s="6"/>
      <c r="H127" s="6"/>
      <c r="I127" s="74"/>
      <c r="J127" s="76"/>
      <c r="K127" s="161"/>
      <c r="L127" s="76"/>
      <c r="M127" s="76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119"/>
      <c r="Y127" s="129"/>
      <c r="Z127" s="129"/>
      <c r="AA127" s="129"/>
      <c r="AB127" s="62"/>
      <c r="AC127" s="170"/>
      <c r="AL127" s="173"/>
      <c r="AM127" s="173"/>
    </row>
    <row r="128" spans="1:55" ht="17.25" customHeight="1">
      <c r="A128" s="6"/>
      <c r="B128" s="74"/>
      <c r="C128" s="73"/>
      <c r="D128" s="74"/>
      <c r="E128" s="6"/>
      <c r="F128" s="76"/>
      <c r="G128" s="6"/>
      <c r="H128" s="6"/>
      <c r="I128" s="74"/>
      <c r="J128" s="76"/>
      <c r="K128" s="161"/>
      <c r="L128" s="76"/>
      <c r="M128" s="76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119"/>
      <c r="Y128" s="129"/>
      <c r="Z128" s="129"/>
      <c r="AA128" s="129"/>
      <c r="AB128" s="62"/>
      <c r="AC128" s="170"/>
      <c r="AD128" s="85" t="s">
        <v>191</v>
      </c>
      <c r="AL128" s="1756">
        <f>ROUND(AL126*D96,1)</f>
        <v>23.9</v>
      </c>
      <c r="AM128" s="1756"/>
      <c r="AN128" s="3" t="s">
        <v>14</v>
      </c>
    </row>
    <row r="129" spans="1:66" ht="17.25" customHeight="1">
      <c r="A129" s="6"/>
      <c r="B129" s="174"/>
      <c r="C129" s="174"/>
      <c r="D129" s="175"/>
      <c r="E129" s="175"/>
      <c r="F129" s="175"/>
      <c r="G129" s="175"/>
      <c r="H129" s="175"/>
      <c r="I129" s="175"/>
      <c r="J129" s="175"/>
      <c r="K129" s="174"/>
      <c r="L129" s="174"/>
      <c r="M129" s="174"/>
      <c r="N129" s="174"/>
      <c r="O129" s="174"/>
      <c r="P129" s="176"/>
      <c r="Q129" s="176"/>
      <c r="R129" s="177"/>
      <c r="S129" s="177"/>
      <c r="T129" s="177"/>
      <c r="U129" s="177"/>
      <c r="V129" s="177"/>
      <c r="W129" s="177"/>
      <c r="X129" s="177"/>
      <c r="Y129" s="177"/>
      <c r="Z129" s="82"/>
      <c r="AA129" s="82"/>
      <c r="AB129" s="178"/>
      <c r="AC129" s="170"/>
    </row>
    <row r="130" spans="1:66" ht="17.25" customHeight="1">
      <c r="A130" s="6"/>
      <c r="B130" s="174"/>
      <c r="C130" s="174"/>
      <c r="D130" s="179"/>
      <c r="E130" s="179"/>
      <c r="F130" s="179"/>
      <c r="G130" s="179"/>
      <c r="H130" s="175"/>
      <c r="I130" s="175"/>
      <c r="J130" s="175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80"/>
      <c r="X130" s="180"/>
      <c r="Y130" s="180"/>
      <c r="Z130" s="82"/>
      <c r="AA130" s="82"/>
      <c r="AB130" s="178"/>
      <c r="AC130" s="170"/>
    </row>
    <row r="131" spans="1:66" ht="17.25" customHeight="1">
      <c r="A131" s="6"/>
      <c r="B131" s="181"/>
      <c r="C131" s="182"/>
      <c r="D131" s="183"/>
      <c r="E131" s="183"/>
      <c r="F131" s="182"/>
      <c r="G131" s="182"/>
      <c r="H131" s="184"/>
      <c r="I131" s="184"/>
      <c r="J131" s="184"/>
      <c r="K131" s="182"/>
      <c r="L131" s="182"/>
      <c r="M131" s="182"/>
      <c r="N131" s="185"/>
      <c r="O131" s="185"/>
      <c r="P131" s="186"/>
      <c r="Q131" s="186"/>
      <c r="R131" s="182"/>
      <c r="S131" s="182"/>
      <c r="T131" s="182"/>
      <c r="U131" s="182"/>
      <c r="V131" s="182"/>
      <c r="W131" s="187"/>
      <c r="X131" s="187"/>
      <c r="Y131" s="187"/>
      <c r="Z131" s="77"/>
      <c r="AA131" s="77"/>
      <c r="AB131" s="188"/>
      <c r="AC131" s="170"/>
    </row>
    <row r="132" spans="1:66" ht="17.25" customHeight="1">
      <c r="A132" s="6"/>
      <c r="B132" s="182"/>
      <c r="C132" s="182"/>
      <c r="D132" s="189"/>
      <c r="E132" s="189"/>
      <c r="F132" s="182"/>
      <c r="G132" s="182"/>
      <c r="H132" s="184"/>
      <c r="I132" s="184"/>
      <c r="J132" s="184"/>
      <c r="K132" s="182"/>
      <c r="L132" s="182"/>
      <c r="M132" s="182"/>
      <c r="N132" s="185"/>
      <c r="O132" s="185"/>
      <c r="P132" s="186"/>
      <c r="Q132" s="186"/>
      <c r="R132" s="182"/>
      <c r="S132" s="182"/>
      <c r="T132" s="182"/>
      <c r="U132" s="182"/>
      <c r="V132" s="182"/>
      <c r="W132" s="187"/>
      <c r="X132" s="187"/>
      <c r="Y132" s="187"/>
      <c r="Z132" s="77"/>
      <c r="AA132" s="77"/>
      <c r="AB132" s="2"/>
      <c r="AC132" s="170"/>
    </row>
    <row r="133" spans="1:66" ht="17.25" customHeight="1">
      <c r="A133" s="6"/>
      <c r="B133" s="182"/>
      <c r="C133" s="182"/>
      <c r="D133" s="189"/>
      <c r="E133" s="189"/>
      <c r="F133" s="182"/>
      <c r="G133" s="182"/>
      <c r="H133" s="184"/>
      <c r="I133" s="184"/>
      <c r="J133" s="184"/>
      <c r="K133" s="182"/>
      <c r="L133" s="182"/>
      <c r="M133" s="182"/>
      <c r="N133" s="185"/>
      <c r="O133" s="185"/>
      <c r="P133" s="186"/>
      <c r="Q133" s="186"/>
      <c r="R133" s="182"/>
      <c r="S133" s="182"/>
      <c r="T133" s="182"/>
      <c r="U133" s="182"/>
      <c r="V133" s="182"/>
      <c r="W133" s="187"/>
      <c r="X133" s="187"/>
      <c r="Y133" s="187"/>
      <c r="Z133" s="77"/>
      <c r="AA133" s="77"/>
      <c r="AB133" s="2"/>
      <c r="AC133" s="170"/>
    </row>
    <row r="134" spans="1:66" ht="17.25" customHeight="1">
      <c r="A134" s="6"/>
      <c r="B134" s="190"/>
      <c r="C134" s="182"/>
      <c r="D134" s="183"/>
      <c r="E134" s="182"/>
      <c r="F134" s="182"/>
      <c r="G134" s="182"/>
      <c r="H134" s="184"/>
      <c r="I134" s="184"/>
      <c r="J134" s="184"/>
      <c r="K134" s="182"/>
      <c r="L134" s="182"/>
      <c r="M134" s="182"/>
      <c r="N134" s="185"/>
      <c r="O134" s="185"/>
      <c r="P134" s="186"/>
      <c r="Q134" s="186"/>
      <c r="R134" s="182"/>
      <c r="S134" s="182"/>
      <c r="T134" s="182"/>
      <c r="U134" s="182"/>
      <c r="V134" s="182"/>
      <c r="W134" s="187"/>
      <c r="X134" s="187"/>
      <c r="Y134" s="187"/>
      <c r="Z134" s="77"/>
      <c r="AA134" s="77"/>
      <c r="AB134" s="2"/>
      <c r="AC134" s="170"/>
    </row>
    <row r="135" spans="1:66" ht="17.25" customHeight="1">
      <c r="A135" s="6"/>
      <c r="B135" s="181"/>
      <c r="C135" s="181"/>
      <c r="D135" s="181"/>
      <c r="E135" s="181"/>
      <c r="F135" s="181"/>
      <c r="G135" s="181"/>
      <c r="H135" s="191"/>
      <c r="I135" s="191"/>
      <c r="J135" s="191"/>
      <c r="K135" s="77"/>
      <c r="L135" s="77"/>
      <c r="M135" s="77"/>
      <c r="N135" s="82"/>
      <c r="O135" s="82"/>
      <c r="P135" s="192"/>
      <c r="Q135" s="192"/>
      <c r="R135" s="77"/>
      <c r="S135" s="77"/>
      <c r="T135" s="77"/>
      <c r="U135" s="77"/>
      <c r="V135" s="77"/>
      <c r="W135" s="193"/>
      <c r="X135" s="193"/>
      <c r="Y135" s="193"/>
      <c r="Z135" s="77"/>
      <c r="AA135" s="77"/>
      <c r="AB135" s="2"/>
      <c r="AC135" s="170"/>
    </row>
    <row r="136" spans="1:66" ht="17.25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76"/>
      <c r="M136" s="76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119"/>
      <c r="Y136" s="129"/>
      <c r="Z136" s="129"/>
      <c r="AA136" s="129"/>
      <c r="AB136" s="62"/>
      <c r="AC136" s="170"/>
    </row>
    <row r="137" spans="1:66" s="5" customFormat="1" ht="17.25" customHeight="1">
      <c r="A137" s="6"/>
      <c r="B137" s="194" t="s">
        <v>192</v>
      </c>
      <c r="C137" s="157"/>
      <c r="D137" s="158"/>
      <c r="E137" s="158"/>
      <c r="F137" s="157"/>
      <c r="G137" s="158"/>
      <c r="H137" s="158"/>
      <c r="I137" s="74"/>
      <c r="J137" s="76"/>
      <c r="K137" s="161"/>
      <c r="L137" s="162"/>
      <c r="M137" s="162"/>
      <c r="N137" s="163"/>
      <c r="O137" s="163"/>
      <c r="P137" s="163"/>
      <c r="Q137" s="163"/>
      <c r="R137" s="163"/>
      <c r="S137" s="77"/>
      <c r="T137" s="77"/>
      <c r="U137" s="77"/>
      <c r="V137" s="77"/>
      <c r="W137" s="77"/>
      <c r="X137" s="119"/>
      <c r="Y137" s="168"/>
      <c r="Z137" s="168"/>
      <c r="AA137" s="168"/>
      <c r="AB137" s="61"/>
      <c r="AC137" s="170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 s="5" customFormat="1" ht="17.25" customHeight="1">
      <c r="A138" s="6"/>
      <c r="B138" s="74"/>
      <c r="C138" s="157"/>
      <c r="D138" s="158"/>
      <c r="E138" s="158"/>
      <c r="F138" s="157"/>
      <c r="G138" s="158"/>
      <c r="H138" s="158"/>
      <c r="I138" s="74"/>
      <c r="J138" s="76"/>
      <c r="K138" s="161"/>
      <c r="L138" s="162"/>
      <c r="M138" s="162"/>
      <c r="N138" s="163"/>
      <c r="O138" s="163"/>
      <c r="P138" s="163"/>
      <c r="Q138" s="163"/>
      <c r="R138" s="163"/>
      <c r="S138" s="77"/>
      <c r="T138" s="77"/>
      <c r="U138" s="77"/>
      <c r="V138" s="77"/>
      <c r="W138" s="77"/>
      <c r="X138" s="119"/>
      <c r="Y138" s="168"/>
      <c r="Z138" s="168"/>
      <c r="AA138" s="168"/>
      <c r="AB138" s="61"/>
      <c r="AC138" s="170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 s="5" customFormat="1" ht="17.25" customHeight="1">
      <c r="A139" s="6"/>
      <c r="B139" s="85" t="s">
        <v>193</v>
      </c>
      <c r="C139" s="157"/>
      <c r="D139" s="158"/>
      <c r="E139" s="158"/>
      <c r="F139" s="157"/>
      <c r="G139" s="158"/>
      <c r="H139" s="158"/>
      <c r="I139" s="74"/>
      <c r="J139" s="76"/>
      <c r="K139" s="161"/>
      <c r="L139" s="162"/>
      <c r="M139" s="162"/>
      <c r="N139" s="163"/>
      <c r="O139" s="163"/>
      <c r="P139" s="163"/>
      <c r="Q139" s="163"/>
      <c r="R139" s="163"/>
      <c r="S139" s="77"/>
      <c r="T139" s="77"/>
      <c r="U139" s="77"/>
      <c r="V139" s="77"/>
      <c r="W139" s="77"/>
      <c r="X139" s="119"/>
      <c r="Y139" s="168"/>
      <c r="Z139" s="168"/>
      <c r="AA139" s="168"/>
      <c r="AB139" s="61"/>
      <c r="AC139" s="170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 ht="17.25" customHeight="1">
      <c r="A140" s="6"/>
      <c r="B140" s="157"/>
      <c r="C140" s="157"/>
      <c r="D140" s="158"/>
      <c r="E140" s="158"/>
      <c r="F140" s="157"/>
      <c r="G140" s="158"/>
      <c r="H140" s="158"/>
      <c r="I140" s="74"/>
      <c r="J140" s="76"/>
      <c r="K140" s="161"/>
      <c r="L140" s="162"/>
      <c r="M140" s="162"/>
      <c r="N140" s="163"/>
      <c r="O140" s="163"/>
      <c r="P140" s="163"/>
      <c r="Q140" s="163"/>
      <c r="R140" s="163"/>
      <c r="S140" s="77"/>
      <c r="T140" s="77"/>
      <c r="U140" s="77"/>
      <c r="V140" s="77"/>
      <c r="W140" s="77"/>
      <c r="X140" s="119"/>
      <c r="Y140" s="168"/>
      <c r="Z140" s="168"/>
      <c r="AA140" s="168"/>
      <c r="AB140" s="61"/>
      <c r="AC140" s="170"/>
    </row>
    <row r="141" spans="1:66" ht="29.25" customHeight="1">
      <c r="A141" s="6"/>
      <c r="B141" s="74" t="s">
        <v>194</v>
      </c>
      <c r="C141" s="73"/>
      <c r="D141" s="74"/>
      <c r="E141" s="74"/>
      <c r="F141" s="73" t="s">
        <v>195</v>
      </c>
      <c r="G141" s="74"/>
      <c r="H141" s="74"/>
      <c r="I141" s="6" t="s">
        <v>196</v>
      </c>
      <c r="J141" s="73" t="s">
        <v>197</v>
      </c>
      <c r="K141" s="73"/>
      <c r="L141" s="76"/>
      <c r="M141" s="76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119"/>
      <c r="Z141" s="76"/>
      <c r="AA141" s="76"/>
      <c r="AB141" s="46"/>
      <c r="AC141" s="170"/>
    </row>
    <row r="142" spans="1:66" ht="29.25" customHeight="1">
      <c r="A142" s="6"/>
      <c r="B142" s="1274" t="s">
        <v>198</v>
      </c>
      <c r="C142" s="1275"/>
      <c r="D142" s="1275"/>
      <c r="E142" s="1275"/>
      <c r="F142" s="1275" t="s">
        <v>199</v>
      </c>
      <c r="G142" s="1275"/>
      <c r="H142" s="1275"/>
      <c r="I142" s="1275"/>
      <c r="J142" s="1275"/>
      <c r="K142" s="1275"/>
      <c r="L142" s="1276" t="s">
        <v>200</v>
      </c>
      <c r="M142" s="1277"/>
      <c r="N142" s="1277"/>
      <c r="O142" s="1277"/>
      <c r="P142" s="1277"/>
      <c r="Q142" s="1277"/>
      <c r="R142" s="1274"/>
      <c r="S142" s="1276" t="s">
        <v>201</v>
      </c>
      <c r="T142" s="1277"/>
      <c r="U142" s="1277"/>
      <c r="V142" s="1277"/>
      <c r="W142" s="1277"/>
      <c r="X142" s="1277"/>
      <c r="Y142" s="1277"/>
      <c r="Z142" s="1277"/>
      <c r="AA142" s="76"/>
      <c r="AB142" s="46"/>
      <c r="AC142" s="42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ht="29.25" customHeight="1">
      <c r="A143" s="6"/>
      <c r="B143" s="1735">
        <f>+Y21</f>
        <v>24.9</v>
      </c>
      <c r="C143" s="1736"/>
      <c r="D143" s="1736"/>
      <c r="E143" s="1736"/>
      <c r="F143" s="1737">
        <f>ROUND(_xlfn.COT(RADIANS(B143))*(L143-1),4)</f>
        <v>25.8992</v>
      </c>
      <c r="G143" s="1737"/>
      <c r="H143" s="1737"/>
      <c r="I143" s="1737"/>
      <c r="J143" s="1737"/>
      <c r="K143" s="1737"/>
      <c r="L143" s="1738">
        <f>ROUND((EXP(2*(3*PI()/4-RADIANS(B143)/2)*TAN(RADIANS(B143)))/(COS(RADIANS(45+B143/2))^2*2))*1.035,3)</f>
        <v>13.022</v>
      </c>
      <c r="M143" s="1754"/>
      <c r="N143" s="1754"/>
      <c r="O143" s="1754"/>
      <c r="P143" s="1754"/>
      <c r="Q143" s="1754"/>
      <c r="R143" s="1755"/>
      <c r="S143" s="1738">
        <f>ROUND((L143+1)*TAN(RADIANS(B143))*2/(1+0.4*SIN(RADIANS(4*B143))),3)</f>
        <v>9.3360000000000003</v>
      </c>
      <c r="T143" s="1754"/>
      <c r="U143" s="1754"/>
      <c r="V143" s="1754"/>
      <c r="W143" s="1754"/>
      <c r="X143" s="1754"/>
      <c r="Y143" s="1754"/>
      <c r="Z143" s="1754"/>
      <c r="AA143" s="129"/>
      <c r="AB143" s="62"/>
      <c r="AC143" s="42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1:66" ht="29.25" customHeight="1">
      <c r="A144" s="6"/>
      <c r="B144" s="74" t="s">
        <v>202</v>
      </c>
      <c r="C144" s="73"/>
      <c r="D144" s="74"/>
      <c r="E144" s="74"/>
      <c r="F144" s="73" t="s">
        <v>195</v>
      </c>
      <c r="G144" s="74"/>
      <c r="H144" s="74"/>
      <c r="I144" s="6" t="s">
        <v>196</v>
      </c>
      <c r="J144" s="73" t="s">
        <v>197</v>
      </c>
      <c r="K144" s="73"/>
      <c r="L144" s="76"/>
      <c r="M144" s="76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119"/>
      <c r="Z144" s="76"/>
      <c r="AA144" s="76"/>
      <c r="AB144" s="46"/>
      <c r="AC144" s="42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1:66" ht="29.25" customHeight="1">
      <c r="A145" s="6"/>
      <c r="B145" s="1274" t="s">
        <v>198</v>
      </c>
      <c r="C145" s="1275"/>
      <c r="D145" s="1275"/>
      <c r="E145" s="1275"/>
      <c r="F145" s="1275" t="s">
        <v>199</v>
      </c>
      <c r="G145" s="1275"/>
      <c r="H145" s="1275"/>
      <c r="I145" s="1275"/>
      <c r="J145" s="1275"/>
      <c r="K145" s="1275"/>
      <c r="L145" s="1275" t="s">
        <v>200</v>
      </c>
      <c r="M145" s="1275"/>
      <c r="N145" s="1275"/>
      <c r="O145" s="1275"/>
      <c r="P145" s="1275"/>
      <c r="Q145" s="1275"/>
      <c r="R145" s="1275"/>
      <c r="S145" s="1275" t="s">
        <v>201</v>
      </c>
      <c r="T145" s="1275"/>
      <c r="U145" s="1275"/>
      <c r="V145" s="1275"/>
      <c r="W145" s="1275"/>
      <c r="X145" s="1275"/>
      <c r="Y145" s="1275"/>
      <c r="Z145" s="1276"/>
      <c r="AA145" s="76"/>
      <c r="AB145" s="46"/>
      <c r="AC145" s="42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1:66" ht="29.25" customHeight="1">
      <c r="A146" s="6"/>
      <c r="B146" s="1735">
        <f>+U119</f>
        <v>25.56</v>
      </c>
      <c r="C146" s="1736"/>
      <c r="D146" s="1736"/>
      <c r="E146" s="1736"/>
      <c r="F146" s="1737">
        <f>ROUND(_xlfn.COT(RADIANS(B146))*(L146-1),4)</f>
        <v>27.194299999999998</v>
      </c>
      <c r="G146" s="1737"/>
      <c r="H146" s="1737"/>
      <c r="I146" s="1737"/>
      <c r="J146" s="1737"/>
      <c r="K146" s="1737"/>
      <c r="L146" s="1737">
        <f>ROUND((EXP(2*(3*PI()/4-RADIANS(B146)/2)*TAN(RADIANS(B146)))/(COS(RADIANS(45+B146/2))^2*2))*1.035,3)</f>
        <v>14.006</v>
      </c>
      <c r="M146" s="1737"/>
      <c r="N146" s="1737"/>
      <c r="O146" s="1737"/>
      <c r="P146" s="1737"/>
      <c r="Q146" s="1737"/>
      <c r="R146" s="1737"/>
      <c r="S146" s="1737">
        <f>ROUND((L146+1)*TAN(RADIANS(B146))*2/(1+0.4*SIN(RADIANS(4*B146))),3)</f>
        <v>10.32</v>
      </c>
      <c r="T146" s="1737"/>
      <c r="U146" s="1737"/>
      <c r="V146" s="1737"/>
      <c r="W146" s="1737"/>
      <c r="X146" s="1737"/>
      <c r="Y146" s="1737"/>
      <c r="Z146" s="1738"/>
      <c r="AA146" s="76"/>
      <c r="AB146" s="46"/>
      <c r="AC146" s="170"/>
    </row>
    <row r="147" spans="1:66" ht="17.25" customHeight="1">
      <c r="A147" s="6"/>
      <c r="B147" s="76"/>
      <c r="C147" s="76"/>
      <c r="D147" s="76"/>
      <c r="E147" s="76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77"/>
      <c r="S147" s="77"/>
      <c r="T147" s="77"/>
      <c r="U147" s="77"/>
      <c r="V147" s="77"/>
      <c r="W147" s="77"/>
      <c r="X147" s="77"/>
      <c r="Y147" s="119"/>
      <c r="Z147" s="76"/>
      <c r="AA147" s="76"/>
      <c r="AB147" s="46"/>
      <c r="AC147" s="97"/>
    </row>
    <row r="148" spans="1:66" ht="17.25" customHeight="1">
      <c r="A148" s="6"/>
      <c r="B148" s="74"/>
      <c r="C148" s="73"/>
      <c r="D148" s="74"/>
      <c r="E148" s="74"/>
      <c r="F148" s="75"/>
      <c r="G148" s="74"/>
      <c r="H148" s="74"/>
      <c r="I148" s="74"/>
      <c r="J148" s="76"/>
      <c r="K148" s="73"/>
      <c r="L148" s="76"/>
      <c r="M148" s="76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119"/>
      <c r="Z148" s="76"/>
      <c r="AA148" s="76"/>
      <c r="AB148" s="46"/>
      <c r="AC148" s="9"/>
    </row>
    <row r="149" spans="1:66" ht="17.25" customHeight="1" thickBot="1">
      <c r="A149" s="6"/>
      <c r="B149" s="6"/>
      <c r="C149" s="6"/>
      <c r="D149" s="6"/>
      <c r="E149" s="6"/>
      <c r="F149" s="6"/>
      <c r="G149" s="6"/>
      <c r="H149" s="6"/>
      <c r="I149" s="6"/>
      <c r="J149" s="1739" t="s">
        <v>203</v>
      </c>
      <c r="K149" s="1740"/>
      <c r="L149" s="1740"/>
      <c r="M149" s="1740"/>
      <c r="N149" s="1741"/>
      <c r="O149" s="1745" t="s">
        <v>204</v>
      </c>
      <c r="P149" s="1746"/>
      <c r="Q149" s="1746"/>
      <c r="R149" s="1746"/>
      <c r="S149" s="1746"/>
      <c r="T149" s="1746"/>
      <c r="U149" s="1746"/>
      <c r="V149" s="1746"/>
      <c r="W149" s="1746"/>
      <c r="X149" s="1746"/>
      <c r="Y149" s="1746"/>
      <c r="Z149" s="1747"/>
      <c r="AA149" s="77"/>
      <c r="AB149" s="77"/>
      <c r="AC149" s="77"/>
      <c r="AD149" s="196" t="s">
        <v>205</v>
      </c>
      <c r="AE149" s="197" t="s">
        <v>206</v>
      </c>
      <c r="AF149" s="145"/>
      <c r="AG149" s="145"/>
      <c r="AH149" s="145"/>
      <c r="AX149" s="3"/>
      <c r="AY149" s="3"/>
      <c r="AZ149" s="5"/>
      <c r="BA149" s="5"/>
    </row>
    <row r="150" spans="1:66" ht="17.25" customHeight="1" thickTop="1">
      <c r="A150" s="6"/>
      <c r="B150" s="6"/>
      <c r="C150" s="6"/>
      <c r="D150" s="6"/>
      <c r="E150" s="6"/>
      <c r="F150" s="6"/>
      <c r="G150" s="6"/>
      <c r="H150" s="6"/>
      <c r="I150" s="6"/>
      <c r="J150" s="1742"/>
      <c r="K150" s="1743"/>
      <c r="L150" s="1743"/>
      <c r="M150" s="1743"/>
      <c r="N150" s="1744"/>
      <c r="O150" s="1748" t="s">
        <v>207</v>
      </c>
      <c r="P150" s="1749"/>
      <c r="Q150" s="1749"/>
      <c r="R150" s="1750"/>
      <c r="S150" s="1748" t="s">
        <v>208</v>
      </c>
      <c r="T150" s="1749"/>
      <c r="U150" s="1749"/>
      <c r="V150" s="1750"/>
      <c r="W150" s="1751" t="s">
        <v>209</v>
      </c>
      <c r="X150" s="1752"/>
      <c r="Y150" s="1752"/>
      <c r="Z150" s="1753"/>
      <c r="AA150" s="77"/>
      <c r="AB150" s="77"/>
      <c r="AC150" s="77"/>
      <c r="AD150" s="77"/>
      <c r="AE150" s="46"/>
      <c r="AJ150" s="1303" t="s">
        <v>157</v>
      </c>
      <c r="AK150" s="1303"/>
      <c r="AL150" s="1065">
        <f>+G5</f>
        <v>8.4</v>
      </c>
      <c r="AM150" s="1065"/>
      <c r="AX150" s="3"/>
      <c r="AY150" s="3"/>
      <c r="AZ150" s="5"/>
      <c r="BA150" s="5"/>
    </row>
    <row r="151" spans="1:6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198"/>
      <c r="K151" s="198"/>
      <c r="L151" s="199">
        <v>0</v>
      </c>
      <c r="M151" s="198"/>
      <c r="N151" s="200"/>
      <c r="O151" s="198"/>
      <c r="P151" s="1731">
        <v>5.7</v>
      </c>
      <c r="Q151" s="1731"/>
      <c r="R151" s="201"/>
      <c r="S151" s="198"/>
      <c r="T151" s="1733">
        <v>0</v>
      </c>
      <c r="U151" s="1733"/>
      <c r="V151" s="201"/>
      <c r="W151" s="198"/>
      <c r="X151" s="1733">
        <v>1</v>
      </c>
      <c r="Y151" s="1733"/>
      <c r="Z151" s="198"/>
      <c r="AA151" s="77"/>
      <c r="AB151" s="77"/>
      <c r="AC151" s="77"/>
      <c r="AD151" s="77"/>
      <c r="AE151" s="46"/>
      <c r="AH151" s="3" t="s">
        <v>210</v>
      </c>
      <c r="AI151" s="202">
        <v>18</v>
      </c>
      <c r="AJ151" s="1303" t="s">
        <v>211</v>
      </c>
      <c r="AK151" s="1303"/>
      <c r="AL151" s="1065">
        <f>+X5</f>
        <v>6.3</v>
      </c>
      <c r="AM151" s="1065"/>
      <c r="AX151" s="3"/>
      <c r="AY151" s="3"/>
      <c r="AZ151" s="5"/>
      <c r="BA151" s="5"/>
    </row>
    <row r="152" spans="1:6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198"/>
      <c r="K152" s="198"/>
      <c r="L152" s="199">
        <v>5</v>
      </c>
      <c r="M152" s="198"/>
      <c r="N152" s="200"/>
      <c r="O152" s="198"/>
      <c r="P152" s="1731">
        <v>7.4</v>
      </c>
      <c r="Q152" s="1731"/>
      <c r="R152" s="200"/>
      <c r="S152" s="198"/>
      <c r="T152" s="1731">
        <v>0.5</v>
      </c>
      <c r="U152" s="1731"/>
      <c r="V152" s="200"/>
      <c r="W152" s="198"/>
      <c r="X152" s="1731">
        <v>1.6</v>
      </c>
      <c r="Y152" s="1731"/>
      <c r="Z152" s="198"/>
      <c r="AA152" s="77"/>
      <c r="AB152" s="77"/>
      <c r="AC152" s="77"/>
      <c r="AD152" s="77"/>
      <c r="AE152" s="46"/>
      <c r="AH152" s="3" t="s">
        <v>212</v>
      </c>
      <c r="AI152" s="202">
        <v>8</v>
      </c>
      <c r="AJ152" s="1303" t="s">
        <v>213</v>
      </c>
      <c r="AK152" s="1303"/>
      <c r="AL152" s="1065">
        <f>+O5</f>
        <v>5.0999999999999996</v>
      </c>
      <c r="AM152" s="1065"/>
      <c r="AX152" s="3"/>
      <c r="AY152" s="3"/>
      <c r="AZ152" s="5"/>
      <c r="BA152" s="5"/>
    </row>
    <row r="153" spans="1:6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198"/>
      <c r="K153" s="198"/>
      <c r="L153" s="199">
        <v>10</v>
      </c>
      <c r="M153" s="198"/>
      <c r="N153" s="200"/>
      <c r="O153" s="198"/>
      <c r="P153" s="1731">
        <v>9.6</v>
      </c>
      <c r="Q153" s="1731"/>
      <c r="R153" s="200"/>
      <c r="S153" s="198"/>
      <c r="T153" s="1731">
        <v>1.2</v>
      </c>
      <c r="U153" s="1731"/>
      <c r="V153" s="200"/>
      <c r="W153" s="198"/>
      <c r="X153" s="1731">
        <v>2.7</v>
      </c>
      <c r="Y153" s="1731"/>
      <c r="Z153" s="198"/>
      <c r="AA153" s="77"/>
      <c r="AB153" s="77"/>
      <c r="AC153" s="77"/>
      <c r="AD153" s="77"/>
      <c r="AE153" s="46"/>
      <c r="AX153" s="3"/>
      <c r="AY153" s="3"/>
      <c r="AZ153" s="5"/>
      <c r="BA153" s="5"/>
    </row>
    <row r="154" spans="1:6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198"/>
      <c r="K154" s="198"/>
      <c r="L154" s="199">
        <v>15</v>
      </c>
      <c r="M154" s="198"/>
      <c r="N154" s="200"/>
      <c r="O154" s="198"/>
      <c r="P154" s="1731">
        <v>12.9</v>
      </c>
      <c r="Q154" s="1731"/>
      <c r="R154" s="200"/>
      <c r="S154" s="198"/>
      <c r="T154" s="1731">
        <v>2.5</v>
      </c>
      <c r="U154" s="1731"/>
      <c r="V154" s="200"/>
      <c r="W154" s="198"/>
      <c r="X154" s="1731">
        <v>4.5</v>
      </c>
      <c r="Y154" s="1731"/>
      <c r="Z154" s="198"/>
      <c r="AA154" s="77"/>
      <c r="AB154" s="77"/>
      <c r="AC154" s="77"/>
      <c r="AD154" s="77"/>
      <c r="AE154" s="46"/>
      <c r="AH154" s="171" t="s">
        <v>214</v>
      </c>
      <c r="AK154" s="145">
        <f>+ROUND(((AL151-AL152)*AI151+(AL150-(AL151-AL152))*AI152)/AL150,2)</f>
        <v>9.43</v>
      </c>
      <c r="AX154" s="3"/>
      <c r="AY154" s="3"/>
      <c r="AZ154" s="5"/>
      <c r="BA154" s="5"/>
    </row>
    <row r="155" spans="1:6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198"/>
      <c r="K155" s="198"/>
      <c r="L155" s="199">
        <v>20</v>
      </c>
      <c r="M155" s="198"/>
      <c r="N155" s="200"/>
      <c r="O155" s="198"/>
      <c r="P155" s="1731">
        <v>17.7</v>
      </c>
      <c r="Q155" s="1731"/>
      <c r="R155" s="200"/>
      <c r="S155" s="198"/>
      <c r="T155" s="1734">
        <v>4</v>
      </c>
      <c r="U155" s="1734"/>
      <c r="V155" s="200"/>
      <c r="W155" s="198"/>
      <c r="X155" s="1731">
        <v>7.4</v>
      </c>
      <c r="Y155" s="1731"/>
      <c r="Z155" s="198"/>
      <c r="AA155" s="77"/>
      <c r="AB155" s="77"/>
      <c r="AC155" s="77"/>
      <c r="AD155" s="77"/>
      <c r="AE155" s="46"/>
      <c r="AH155" s="171" t="s">
        <v>215</v>
      </c>
      <c r="AK155" s="145">
        <f>ROUND(IF(AL152&lt;AL151,AI151,((AL151*AI151)+(AL152-AL151)*AI152)/AL152),2)</f>
        <v>18</v>
      </c>
      <c r="AX155" s="3"/>
      <c r="AY155" s="3"/>
      <c r="AZ155" s="5"/>
      <c r="BA155" s="5"/>
    </row>
    <row r="156" spans="1:6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198"/>
      <c r="K156" s="198"/>
      <c r="L156" s="199">
        <v>25</v>
      </c>
      <c r="M156" s="198"/>
      <c r="N156" s="200"/>
      <c r="O156" s="198"/>
      <c r="P156" s="1731">
        <v>25.2</v>
      </c>
      <c r="Q156" s="1731"/>
      <c r="R156" s="200"/>
      <c r="S156" s="198"/>
      <c r="T156" s="1731">
        <v>9.6999999999999993</v>
      </c>
      <c r="U156" s="1731"/>
      <c r="V156" s="200"/>
      <c r="W156" s="198"/>
      <c r="X156" s="1731">
        <v>12.7</v>
      </c>
      <c r="Y156" s="1731"/>
      <c r="Z156" s="198"/>
      <c r="AA156" s="77"/>
      <c r="AB156" s="77"/>
      <c r="AC156" s="77"/>
      <c r="AD156" s="77"/>
      <c r="AE156" s="46"/>
      <c r="AX156" s="3"/>
      <c r="AY156" s="3"/>
      <c r="AZ156" s="5"/>
      <c r="BA156" s="5"/>
    </row>
    <row r="157" spans="1:6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198"/>
      <c r="K157" s="198"/>
      <c r="L157" s="199">
        <v>30</v>
      </c>
      <c r="M157" s="198"/>
      <c r="N157" s="200"/>
      <c r="O157" s="198"/>
      <c r="P157" s="1731">
        <v>37.200000000000003</v>
      </c>
      <c r="Q157" s="1731"/>
      <c r="R157" s="200"/>
      <c r="S157" s="198"/>
      <c r="T157" s="1731">
        <v>19.7</v>
      </c>
      <c r="U157" s="1731"/>
      <c r="V157" s="200"/>
      <c r="W157" s="198"/>
      <c r="X157" s="1731">
        <v>22.5</v>
      </c>
      <c r="Y157" s="1731"/>
      <c r="Z157" s="198"/>
      <c r="AA157" s="77"/>
      <c r="AB157" s="77"/>
      <c r="AC157" s="77"/>
      <c r="AD157" s="77"/>
      <c r="AE157" s="46"/>
      <c r="AX157" s="3"/>
      <c r="AY157" s="3"/>
      <c r="AZ157" s="5"/>
      <c r="BA157" s="5"/>
    </row>
    <row r="158" spans="1:6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198"/>
      <c r="K158" s="198"/>
      <c r="L158" s="199">
        <v>32</v>
      </c>
      <c r="M158" s="198"/>
      <c r="N158" s="200"/>
      <c r="O158" s="198"/>
      <c r="P158" s="1733">
        <v>44</v>
      </c>
      <c r="Q158" s="1733"/>
      <c r="R158" s="200"/>
      <c r="S158" s="198"/>
      <c r="T158" s="1731">
        <v>26.9</v>
      </c>
      <c r="U158" s="1731"/>
      <c r="V158" s="200"/>
      <c r="W158" s="198"/>
      <c r="X158" s="1731">
        <v>28.5</v>
      </c>
      <c r="Y158" s="1731"/>
      <c r="Z158" s="198"/>
      <c r="AA158" s="77"/>
      <c r="AB158" s="77"/>
      <c r="AC158" s="77"/>
      <c r="AD158" s="77"/>
      <c r="AE158" s="46"/>
      <c r="AX158" s="3"/>
      <c r="AY158" s="3"/>
      <c r="AZ158" s="5"/>
      <c r="BA158" s="5"/>
    </row>
    <row r="159" spans="1:6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198"/>
      <c r="K159" s="198"/>
      <c r="L159" s="199">
        <v>35</v>
      </c>
      <c r="M159" s="198"/>
      <c r="N159" s="200"/>
      <c r="O159" s="198"/>
      <c r="P159" s="1731">
        <v>57.8</v>
      </c>
      <c r="Q159" s="1731"/>
      <c r="R159" s="200"/>
      <c r="S159" s="198"/>
      <c r="T159" s="1731">
        <v>42.5</v>
      </c>
      <c r="U159" s="1731"/>
      <c r="V159" s="200"/>
      <c r="W159" s="198"/>
      <c r="X159" s="1731">
        <v>41.4</v>
      </c>
      <c r="Y159" s="1731"/>
      <c r="Z159" s="198"/>
      <c r="AA159" s="77"/>
      <c r="AB159" s="77"/>
      <c r="AC159" s="77"/>
      <c r="AD159" s="77"/>
      <c r="AE159" s="46"/>
      <c r="AX159" s="3"/>
      <c r="AY159" s="3"/>
      <c r="AZ159" s="5"/>
      <c r="BA159" s="5"/>
    </row>
    <row r="160" spans="1:6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198"/>
      <c r="K160" s="198"/>
      <c r="L160" s="199">
        <v>40</v>
      </c>
      <c r="M160" s="198"/>
      <c r="N160" s="200"/>
      <c r="O160" s="198"/>
      <c r="P160" s="1731">
        <v>95.7</v>
      </c>
      <c r="Q160" s="1731"/>
      <c r="R160" s="200"/>
      <c r="S160" s="198"/>
      <c r="T160" s="1731">
        <v>100.4</v>
      </c>
      <c r="U160" s="1731"/>
      <c r="V160" s="200"/>
      <c r="W160" s="198"/>
      <c r="X160" s="1731">
        <v>81.3</v>
      </c>
      <c r="Y160" s="1731"/>
      <c r="Z160" s="198"/>
      <c r="AA160" s="77"/>
      <c r="AB160" s="77"/>
      <c r="AC160" s="77"/>
      <c r="AD160" s="77"/>
      <c r="AE160" s="46"/>
      <c r="AF160" s="9"/>
      <c r="AX160" s="3"/>
      <c r="AY160" s="3"/>
      <c r="BA160" s="5"/>
      <c r="BB160" s="5"/>
    </row>
    <row r="161" spans="1:54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198"/>
      <c r="K161" s="198"/>
      <c r="L161" s="199">
        <v>45</v>
      </c>
      <c r="M161" s="198"/>
      <c r="N161" s="200"/>
      <c r="O161" s="198"/>
      <c r="P161" s="1731">
        <v>172.3</v>
      </c>
      <c r="Q161" s="1731"/>
      <c r="R161" s="200"/>
      <c r="S161" s="198"/>
      <c r="T161" s="1731">
        <v>297.5</v>
      </c>
      <c r="U161" s="1731"/>
      <c r="V161" s="200"/>
      <c r="W161" s="198"/>
      <c r="X161" s="1731">
        <v>173.3</v>
      </c>
      <c r="Y161" s="1731"/>
      <c r="Z161" s="198"/>
      <c r="AA161" s="77"/>
      <c r="AB161" s="77"/>
      <c r="AC161" s="77"/>
      <c r="AD161" s="77"/>
      <c r="AE161" s="46"/>
      <c r="AF161" s="2"/>
      <c r="AX161" s="3"/>
      <c r="AY161" s="3"/>
      <c r="BA161" s="5"/>
      <c r="BB161" s="5"/>
    </row>
    <row r="162" spans="1:54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198"/>
      <c r="K162" s="198"/>
      <c r="L162" s="199">
        <v>48</v>
      </c>
      <c r="M162" s="198"/>
      <c r="N162" s="200"/>
      <c r="O162" s="198"/>
      <c r="P162" s="1731">
        <v>258.3</v>
      </c>
      <c r="Q162" s="1731"/>
      <c r="R162" s="200"/>
      <c r="S162" s="198"/>
      <c r="T162" s="1731">
        <v>780.1</v>
      </c>
      <c r="U162" s="1731"/>
      <c r="V162" s="200"/>
      <c r="W162" s="198"/>
      <c r="X162" s="1731">
        <v>287.89999999999998</v>
      </c>
      <c r="Y162" s="1731"/>
      <c r="Z162" s="198"/>
      <c r="AA162" s="77"/>
      <c r="AB162" s="77"/>
      <c r="AC162" s="77"/>
      <c r="AD162" s="77"/>
      <c r="AE162" s="46"/>
      <c r="AF162" s="2"/>
      <c r="AX162" s="3"/>
      <c r="AY162" s="3"/>
      <c r="BA162" s="5"/>
      <c r="BB162" s="5"/>
    </row>
    <row r="163" spans="1:54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203"/>
      <c r="K163" s="203"/>
      <c r="L163" s="204">
        <v>50</v>
      </c>
      <c r="M163" s="203"/>
      <c r="N163" s="205"/>
      <c r="O163" s="203"/>
      <c r="P163" s="1732">
        <v>347.5</v>
      </c>
      <c r="Q163" s="1732"/>
      <c r="R163" s="205"/>
      <c r="S163" s="203"/>
      <c r="T163" s="1732">
        <v>1153.2</v>
      </c>
      <c r="U163" s="1732"/>
      <c r="V163" s="205"/>
      <c r="W163" s="203"/>
      <c r="X163" s="1732">
        <v>415.1</v>
      </c>
      <c r="Y163" s="1732"/>
      <c r="Z163" s="203"/>
      <c r="AA163" s="77"/>
      <c r="AB163" s="77"/>
      <c r="AC163" s="77"/>
      <c r="AD163" s="77"/>
      <c r="AE163" s="46"/>
      <c r="AF163" s="2"/>
      <c r="AX163" s="3"/>
      <c r="AY163" s="3"/>
      <c r="BA163" s="5"/>
      <c r="BB163" s="5"/>
    </row>
    <row r="164" spans="1:54" ht="17.25" customHeight="1">
      <c r="A164" s="6"/>
      <c r="B164" s="198"/>
      <c r="C164" s="198"/>
      <c r="D164" s="199"/>
      <c r="E164" s="198"/>
      <c r="F164" s="198"/>
      <c r="G164" s="198"/>
      <c r="H164" s="199"/>
      <c r="I164" s="199"/>
      <c r="J164" s="198"/>
      <c r="K164" s="198"/>
      <c r="L164" s="199"/>
      <c r="M164" s="199"/>
      <c r="N164" s="198"/>
      <c r="O164" s="198"/>
      <c r="P164" s="199"/>
      <c r="Q164" s="199"/>
      <c r="R164" s="198"/>
      <c r="S164" s="77"/>
      <c r="T164" s="77"/>
      <c r="U164" s="77"/>
      <c r="V164" s="77"/>
      <c r="W164" s="77"/>
      <c r="X164" s="77"/>
      <c r="Y164" s="119"/>
      <c r="Z164" s="76"/>
      <c r="AA164" s="76"/>
      <c r="AB164" s="46"/>
      <c r="AC164" s="2"/>
    </row>
    <row r="165" spans="1:54" ht="17.25" customHeight="1">
      <c r="A165" s="6"/>
      <c r="B165" s="198"/>
      <c r="C165" s="198"/>
      <c r="D165" s="199"/>
      <c r="E165" s="198"/>
      <c r="F165" s="198"/>
      <c r="G165" s="198"/>
      <c r="H165" s="199"/>
      <c r="I165" s="199"/>
      <c r="J165" s="198"/>
      <c r="K165" s="198"/>
      <c r="L165" s="199"/>
      <c r="M165" s="199"/>
      <c r="N165" s="198"/>
      <c r="O165" s="198"/>
      <c r="P165" s="199"/>
      <c r="Q165" s="199"/>
      <c r="R165" s="198"/>
      <c r="S165" s="77"/>
      <c r="T165" s="77"/>
      <c r="U165" s="77"/>
      <c r="V165" s="77"/>
      <c r="W165" s="77"/>
      <c r="X165" s="77"/>
      <c r="Y165" s="119"/>
      <c r="Z165" s="76"/>
      <c r="AA165" s="76"/>
      <c r="AB165" s="46"/>
      <c r="AC165" s="2"/>
    </row>
    <row r="166" spans="1:54" ht="17.25" customHeight="1">
      <c r="A166" s="6"/>
      <c r="B166" s="1726" t="s">
        <v>216</v>
      </c>
      <c r="C166" s="1726"/>
      <c r="D166" s="1726"/>
      <c r="E166" s="206" t="s">
        <v>217</v>
      </c>
      <c r="F166" s="207" t="s">
        <v>218</v>
      </c>
      <c r="G166" s="206"/>
      <c r="H166" s="206"/>
      <c r="I166" s="206"/>
      <c r="J166" s="206"/>
      <c r="K166" s="206"/>
      <c r="L166" s="76"/>
      <c r="M166" s="76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119"/>
      <c r="Z166" s="76"/>
      <c r="AA166" s="76"/>
      <c r="AB166" s="46"/>
      <c r="AC166" s="2"/>
    </row>
    <row r="167" spans="1:54" ht="29.25" customHeight="1">
      <c r="A167" s="39"/>
      <c r="B167" s="1727" t="s">
        <v>219</v>
      </c>
      <c r="C167" s="1727"/>
      <c r="D167" s="1727"/>
      <c r="E167" s="1727"/>
      <c r="F167" s="1727"/>
      <c r="G167" s="1728"/>
      <c r="H167" s="1729" t="s">
        <v>220</v>
      </c>
      <c r="I167" s="1729"/>
      <c r="J167" s="1730"/>
      <c r="K167" s="1716" t="s">
        <v>221</v>
      </c>
      <c r="L167" s="1716"/>
      <c r="M167" s="1716"/>
      <c r="N167" s="1716"/>
      <c r="O167" s="1716"/>
      <c r="P167" s="1716" t="s">
        <v>222</v>
      </c>
      <c r="Q167" s="1716"/>
      <c r="R167" s="1716"/>
      <c r="S167" s="1716"/>
      <c r="T167" s="1716"/>
      <c r="U167" s="1716" t="s">
        <v>223</v>
      </c>
      <c r="V167" s="1716"/>
      <c r="W167" s="1716"/>
      <c r="X167" s="1716" t="s">
        <v>224</v>
      </c>
      <c r="Y167" s="1716"/>
      <c r="Z167" s="1717"/>
      <c r="AA167" s="39"/>
      <c r="AB167" s="42"/>
    </row>
    <row r="168" spans="1:54" ht="29.25" customHeight="1">
      <c r="A168" s="39"/>
      <c r="B168" s="1528" t="s">
        <v>225</v>
      </c>
      <c r="C168" s="1528"/>
      <c r="D168" s="1528"/>
      <c r="E168" s="1528"/>
      <c r="F168" s="1528"/>
      <c r="G168" s="1529"/>
      <c r="H168" s="1042"/>
      <c r="I168" s="1042"/>
      <c r="J168" s="1043"/>
      <c r="K168" s="1718"/>
      <c r="L168" s="1718"/>
      <c r="M168" s="1718"/>
      <c r="N168" s="1718"/>
      <c r="O168" s="1718"/>
      <c r="P168" s="1718"/>
      <c r="Q168" s="1718"/>
      <c r="R168" s="1718"/>
      <c r="S168" s="1718"/>
      <c r="T168" s="1718"/>
      <c r="U168" s="1718"/>
      <c r="V168" s="1718"/>
      <c r="W168" s="1718"/>
      <c r="X168" s="1718"/>
      <c r="Y168" s="1718"/>
      <c r="Z168" s="1719"/>
      <c r="AA168" s="39"/>
      <c r="AB168" s="42"/>
    </row>
    <row r="169" spans="1:54" ht="29.25" customHeight="1">
      <c r="A169" s="39"/>
      <c r="B169" s="1720" t="s">
        <v>226</v>
      </c>
      <c r="C169" s="1720"/>
      <c r="D169" s="1720"/>
      <c r="E169" s="1720"/>
      <c r="F169" s="1720"/>
      <c r="G169" s="1721"/>
      <c r="H169" s="1722">
        <v>1</v>
      </c>
      <c r="I169" s="1722"/>
      <c r="J169" s="1722"/>
      <c r="K169" s="1722">
        <v>1.3</v>
      </c>
      <c r="L169" s="1722"/>
      <c r="M169" s="1722"/>
      <c r="N169" s="1722"/>
      <c r="O169" s="1722"/>
      <c r="P169" s="1723" t="s">
        <v>227</v>
      </c>
      <c r="Q169" s="1723"/>
      <c r="R169" s="1723"/>
      <c r="S169" s="1723"/>
      <c r="T169" s="1723"/>
      <c r="U169" s="1722">
        <v>1.3</v>
      </c>
      <c r="V169" s="1722"/>
      <c r="W169" s="1722"/>
      <c r="X169" s="1724" t="str">
        <f>FIXED(1+0.3*G5/K5,2)</f>
        <v>1.29</v>
      </c>
      <c r="Y169" s="1724"/>
      <c r="Z169" s="1725"/>
      <c r="AA169" s="39"/>
      <c r="AB169" s="42"/>
      <c r="AD169" s="145" t="s">
        <v>228</v>
      </c>
    </row>
    <row r="170" spans="1:54" ht="29.25" customHeight="1">
      <c r="A170" s="39"/>
      <c r="B170" s="1038" t="s">
        <v>229</v>
      </c>
      <c r="C170" s="1038"/>
      <c r="D170" s="1038"/>
      <c r="E170" s="1038"/>
      <c r="F170" s="1038"/>
      <c r="G170" s="1039"/>
      <c r="H170" s="1712">
        <v>0.5</v>
      </c>
      <c r="I170" s="1712"/>
      <c r="J170" s="1712"/>
      <c r="K170" s="1712">
        <v>0.4</v>
      </c>
      <c r="L170" s="1712"/>
      <c r="M170" s="1712"/>
      <c r="N170" s="1712"/>
      <c r="O170" s="1712"/>
      <c r="P170" s="1713" t="s">
        <v>230</v>
      </c>
      <c r="Q170" s="1713"/>
      <c r="R170" s="1713"/>
      <c r="S170" s="1713"/>
      <c r="T170" s="1713"/>
      <c r="U170" s="1712">
        <v>0.3</v>
      </c>
      <c r="V170" s="1712"/>
      <c r="W170" s="1712"/>
      <c r="X170" s="1714" t="str">
        <f>FIXED(0.5-0.1*G5/K5,2)</f>
        <v>0.40</v>
      </c>
      <c r="Y170" s="1714"/>
      <c r="Z170" s="1715"/>
      <c r="AA170" s="39"/>
      <c r="AB170" s="42"/>
    </row>
    <row r="171" spans="1:54" ht="17.25" customHeight="1">
      <c r="A171" s="39"/>
      <c r="B171" s="208"/>
      <c r="C171" s="208"/>
      <c r="D171" s="208"/>
      <c r="E171" s="208"/>
      <c r="F171" s="208"/>
      <c r="G171" s="208"/>
      <c r="H171" s="209"/>
      <c r="I171" s="209"/>
      <c r="J171" s="209"/>
      <c r="K171" s="209"/>
      <c r="L171" s="209"/>
      <c r="M171" s="209"/>
      <c r="N171" s="210"/>
      <c r="O171" s="210"/>
      <c r="P171" s="210"/>
      <c r="Q171" s="209"/>
      <c r="R171" s="209"/>
      <c r="S171" s="209"/>
      <c r="T171" s="211"/>
      <c r="U171" s="211"/>
      <c r="V171" s="211"/>
      <c r="W171" s="39"/>
      <c r="X171" s="39"/>
      <c r="Y171" s="39"/>
      <c r="Z171" s="39"/>
      <c r="AA171" s="39"/>
      <c r="AB171" s="42"/>
    </row>
    <row r="172" spans="1:54" ht="17.25" customHeight="1">
      <c r="A172" s="6"/>
      <c r="B172" s="74"/>
      <c r="C172" s="73"/>
      <c r="D172" s="74"/>
      <c r="E172" s="74"/>
      <c r="F172" s="75"/>
      <c r="G172" s="74"/>
      <c r="H172" s="74"/>
      <c r="I172" s="74"/>
      <c r="J172" s="76"/>
      <c r="K172" s="73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119"/>
      <c r="Z172" s="76"/>
      <c r="AA172" s="76"/>
      <c r="AB172" s="46"/>
    </row>
    <row r="173" spans="1:54" ht="17.25" customHeight="1">
      <c r="A173" s="6"/>
      <c r="B173" s="74"/>
      <c r="C173" s="73"/>
      <c r="D173" s="74"/>
      <c r="E173" s="74"/>
      <c r="F173" s="75"/>
      <c r="G173" s="74"/>
      <c r="H173" s="74"/>
      <c r="I173" s="74"/>
      <c r="J173" s="76"/>
      <c r="K173" s="73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119"/>
      <c r="Z173" s="76"/>
      <c r="AA173" s="76"/>
      <c r="AB173" s="46"/>
    </row>
    <row r="174" spans="1:54" ht="17.25" customHeight="1">
      <c r="A174" s="6"/>
      <c r="B174" s="8"/>
      <c r="C174" s="55"/>
      <c r="D174" s="8"/>
      <c r="E174" s="8"/>
      <c r="F174" s="63"/>
      <c r="G174" s="8"/>
      <c r="H174" s="8"/>
      <c r="I174" s="8"/>
      <c r="J174" s="46"/>
      <c r="K174" s="55"/>
      <c r="L174" s="46"/>
      <c r="M174" s="4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58"/>
      <c r="Z174" s="46"/>
      <c r="AA174" s="46"/>
      <c r="AB174" s="46"/>
    </row>
    <row r="175" spans="1:54" ht="17.25" customHeight="1">
      <c r="A175" s="212"/>
      <c r="B175" s="82" t="s">
        <v>231</v>
      </c>
      <c r="C175" s="6"/>
      <c r="D175" s="6"/>
      <c r="E175" s="82"/>
      <c r="F175" s="21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 spans="1:54" ht="17.25" customHeight="1">
      <c r="A176" s="6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9" ht="30" customHeight="1">
      <c r="A177" s="6"/>
      <c r="B177" s="1517" t="s">
        <v>157</v>
      </c>
      <c r="C177" s="1518"/>
      <c r="D177" s="1518"/>
      <c r="E177" s="1518"/>
      <c r="F177" s="1084" t="s">
        <v>158</v>
      </c>
      <c r="G177" s="1084"/>
      <c r="H177" s="1084"/>
      <c r="I177" s="1084"/>
      <c r="J177" s="1311" t="s">
        <v>232</v>
      </c>
      <c r="K177" s="1312"/>
      <c r="L177" s="1313"/>
      <c r="M177" s="1311" t="s">
        <v>233</v>
      </c>
      <c r="N177" s="1312"/>
      <c r="O177" s="1313"/>
      <c r="P177" s="1311" t="s">
        <v>234</v>
      </c>
      <c r="Q177" s="1312"/>
      <c r="R177" s="1313"/>
      <c r="S177" s="1311" t="s">
        <v>235</v>
      </c>
      <c r="T177" s="1312"/>
      <c r="U177" s="1313"/>
      <c r="V177" s="1311" t="s">
        <v>236</v>
      </c>
      <c r="W177" s="1312"/>
      <c r="X177" s="1312"/>
      <c r="Y177" s="1312"/>
      <c r="Z177" s="1312"/>
      <c r="AA177" s="77"/>
      <c r="AB177" s="77"/>
    </row>
    <row r="178" spans="1:29" ht="30" customHeight="1">
      <c r="A178" s="6"/>
      <c r="B178" s="1238">
        <f>$G$5</f>
        <v>8.4</v>
      </c>
      <c r="C178" s="1525"/>
      <c r="D178" s="1525"/>
      <c r="E178" s="1525"/>
      <c r="F178" s="1332">
        <f>$K$5</f>
        <v>8.8000000000000007</v>
      </c>
      <c r="G178" s="1332"/>
      <c r="H178" s="1332"/>
      <c r="I178" s="1332"/>
      <c r="J178" s="1251">
        <f>+$O$5</f>
        <v>5.0999999999999996</v>
      </c>
      <c r="K178" s="1252"/>
      <c r="L178" s="1253"/>
      <c r="M178" s="1251">
        <f>+$S$5</f>
        <v>150</v>
      </c>
      <c r="N178" s="1252"/>
      <c r="O178" s="1253"/>
      <c r="P178" s="1251">
        <f>+$AK$154</f>
        <v>9.43</v>
      </c>
      <c r="Q178" s="1252"/>
      <c r="R178" s="1253"/>
      <c r="S178" s="1542">
        <f>+$AK$155</f>
        <v>18</v>
      </c>
      <c r="T178" s="1543"/>
      <c r="U178" s="1544"/>
      <c r="V178" s="1308">
        <f>+Y19</f>
        <v>5.25</v>
      </c>
      <c r="W178" s="1309"/>
      <c r="X178" s="1309"/>
      <c r="Y178" s="1309"/>
      <c r="Z178" s="1309"/>
      <c r="AA178" s="77"/>
      <c r="AB178" s="77"/>
    </row>
    <row r="179" spans="1:29" ht="17.25" customHeight="1">
      <c r="A179" s="6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9" ht="17.25" customHeight="1">
      <c r="A180" s="6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9" ht="17.25" customHeight="1">
      <c r="A181" s="77"/>
      <c r="B181" s="77" t="s">
        <v>237</v>
      </c>
      <c r="C181" s="213"/>
      <c r="D181" s="77" t="s">
        <v>238</v>
      </c>
      <c r="E181" s="77" t="s">
        <v>239</v>
      </c>
      <c r="F181" s="77"/>
      <c r="G181" s="77"/>
      <c r="H181" s="77"/>
      <c r="I181" s="77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</row>
    <row r="182" spans="1:29" ht="17.25" customHeight="1">
      <c r="A182" s="77"/>
      <c r="B182" s="77"/>
      <c r="C182" s="213"/>
      <c r="D182" s="77"/>
      <c r="E182" s="77"/>
      <c r="F182" s="77"/>
      <c r="G182" s="77"/>
      <c r="H182" s="77"/>
      <c r="I182" s="77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97"/>
    </row>
    <row r="183" spans="1:29" ht="17.25" customHeight="1">
      <c r="A183" s="77"/>
      <c r="B183" s="77"/>
      <c r="C183" s="213"/>
      <c r="D183" s="213"/>
      <c r="E183" s="213" t="s">
        <v>240</v>
      </c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215"/>
      <c r="AC183" s="9"/>
    </row>
    <row r="184" spans="1:29" ht="17.25" customHeight="1">
      <c r="A184" s="77"/>
      <c r="B184" s="77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215"/>
      <c r="AC184" s="216"/>
    </row>
    <row r="185" spans="1:29" ht="17.25" customHeight="1">
      <c r="A185" s="77"/>
      <c r="B185" s="77"/>
      <c r="C185" s="213"/>
      <c r="D185" s="213"/>
      <c r="E185" s="213" t="s">
        <v>241</v>
      </c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215"/>
      <c r="AC185" s="216"/>
    </row>
    <row r="186" spans="1:29" ht="17.25" customHeight="1">
      <c r="A186" s="77"/>
      <c r="B186" s="77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215"/>
      <c r="AC186" s="217"/>
    </row>
    <row r="187" spans="1:29" ht="17.25" customHeight="1">
      <c r="A187" s="77"/>
      <c r="B187" s="77"/>
      <c r="C187" s="213"/>
      <c r="D187" s="213"/>
      <c r="E187" s="213" t="s">
        <v>242</v>
      </c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217"/>
    </row>
    <row r="188" spans="1:29" ht="17.25" customHeight="1">
      <c r="A188" s="77"/>
      <c r="B188" s="77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217"/>
    </row>
    <row r="189" spans="1:29" ht="17.25" customHeight="1">
      <c r="A189" s="77"/>
      <c r="B189" s="77"/>
      <c r="C189" s="213"/>
      <c r="D189" s="77"/>
      <c r="E189" s="77" t="s">
        <v>243</v>
      </c>
      <c r="F189" s="77"/>
      <c r="G189" s="77"/>
      <c r="H189" s="77"/>
      <c r="I189" s="77"/>
      <c r="J189" s="21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217"/>
    </row>
    <row r="190" spans="1:29" ht="17.25" customHeight="1">
      <c r="A190" s="77"/>
      <c r="B190" s="77"/>
      <c r="C190" s="213"/>
      <c r="D190" s="77"/>
      <c r="E190" s="77"/>
      <c r="F190" s="77"/>
      <c r="G190" s="77"/>
      <c r="H190" s="77"/>
      <c r="I190" s="77"/>
      <c r="J190" s="21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9"/>
    </row>
    <row r="191" spans="1:29" ht="17.25" customHeight="1">
      <c r="A191" s="77"/>
      <c r="B191" s="77"/>
      <c r="C191" s="77"/>
      <c r="D191" s="77"/>
      <c r="E191" s="77" t="s">
        <v>244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9"/>
    </row>
    <row r="192" spans="1:29" ht="17.25" customHeight="1">
      <c r="A192" s="6"/>
      <c r="B192" s="13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9"/>
    </row>
    <row r="193" spans="1:29" ht="17.25" customHeight="1">
      <c r="A193" s="6"/>
      <c r="B193" s="85"/>
      <c r="C193" s="157"/>
      <c r="D193" s="158"/>
      <c r="E193" s="73" t="s">
        <v>245</v>
      </c>
      <c r="F193" s="157"/>
      <c r="G193" s="158"/>
      <c r="H193" s="158"/>
      <c r="I193" s="74"/>
      <c r="J193" s="76"/>
      <c r="K193" s="73"/>
      <c r="L193" s="76"/>
      <c r="M193" s="119" t="s">
        <v>90</v>
      </c>
      <c r="N193" s="1702">
        <f>+Y19</f>
        <v>5.25</v>
      </c>
      <c r="O193" s="1702"/>
      <c r="P193" s="1702"/>
      <c r="Q193" s="1703" t="s">
        <v>15</v>
      </c>
      <c r="R193" s="1703"/>
      <c r="S193" s="77"/>
      <c r="T193" s="77"/>
      <c r="U193" s="77"/>
      <c r="V193" s="77"/>
      <c r="W193" s="77"/>
      <c r="X193" s="85"/>
      <c r="Y193" s="85"/>
      <c r="Z193" s="85"/>
      <c r="AA193" s="85"/>
      <c r="AB193" s="77"/>
      <c r="AC193" s="9"/>
    </row>
    <row r="194" spans="1:29" ht="17.25" customHeight="1">
      <c r="A194" s="6"/>
      <c r="B194" s="157"/>
      <c r="C194" s="157"/>
      <c r="D194" s="158"/>
      <c r="E194" s="158"/>
      <c r="F194" s="157"/>
      <c r="G194" s="158"/>
      <c r="H194" s="158"/>
      <c r="I194" s="74"/>
      <c r="J194" s="76"/>
      <c r="K194" s="73"/>
      <c r="L194" s="76"/>
      <c r="M194" s="76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119"/>
      <c r="Y194" s="129"/>
      <c r="Z194" s="129"/>
      <c r="AA194" s="129"/>
      <c r="AB194" s="77"/>
      <c r="AC194" s="9"/>
    </row>
    <row r="195" spans="1:29" ht="17.25" customHeight="1">
      <c r="A195" s="6"/>
      <c r="B195" s="85"/>
      <c r="C195" s="157"/>
      <c r="D195" s="158"/>
      <c r="E195" s="73" t="s">
        <v>246</v>
      </c>
      <c r="F195" s="157"/>
      <c r="G195" s="158"/>
      <c r="H195" s="158"/>
      <c r="I195" s="74"/>
      <c r="J195" s="76"/>
      <c r="K195" s="73"/>
      <c r="L195" s="76"/>
      <c r="M195" s="119" t="s">
        <v>90</v>
      </c>
      <c r="N195" s="1704">
        <f>+Y21</f>
        <v>24.9</v>
      </c>
      <c r="O195" s="1704"/>
      <c r="P195" s="1704"/>
      <c r="Q195" s="1705" t="s">
        <v>131</v>
      </c>
      <c r="R195" s="1068"/>
      <c r="S195" s="77"/>
      <c r="T195" s="77"/>
      <c r="U195" s="77"/>
      <c r="V195" s="77"/>
      <c r="W195" s="77"/>
      <c r="X195" s="85"/>
      <c r="Y195" s="85"/>
      <c r="Z195" s="85"/>
      <c r="AA195" s="85"/>
      <c r="AB195" s="77"/>
      <c r="AC195" s="9"/>
    </row>
    <row r="196" spans="1:29" ht="17.25" customHeight="1">
      <c r="A196" s="6"/>
      <c r="B196" s="157"/>
      <c r="C196" s="157"/>
      <c r="D196" s="158"/>
      <c r="E196" s="158"/>
      <c r="F196" s="157"/>
      <c r="G196" s="158"/>
      <c r="H196" s="158"/>
      <c r="I196" s="74"/>
      <c r="J196" s="76"/>
      <c r="K196" s="161"/>
      <c r="L196" s="162"/>
      <c r="M196" s="162"/>
      <c r="N196" s="163"/>
      <c r="O196" s="163"/>
      <c r="P196" s="163"/>
      <c r="Q196" s="77"/>
      <c r="R196" s="77"/>
      <c r="S196" s="77"/>
      <c r="T196" s="77"/>
      <c r="U196" s="77"/>
      <c r="V196" s="77"/>
      <c r="W196" s="77"/>
      <c r="X196" s="119"/>
      <c r="Y196" s="1702"/>
      <c r="Z196" s="1702"/>
      <c r="AA196" s="1702"/>
      <c r="AB196" s="77"/>
      <c r="AC196" s="2"/>
    </row>
    <row r="197" spans="1:29" ht="17.25" customHeight="1">
      <c r="A197" s="6"/>
      <c r="B197" s="13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2"/>
    </row>
    <row r="198" spans="1:29" ht="17.25" customHeight="1">
      <c r="A198" s="6"/>
      <c r="B198" s="77"/>
      <c r="C198" s="1068" t="s">
        <v>237</v>
      </c>
      <c r="D198" s="1068"/>
      <c r="E198" s="76" t="s">
        <v>90</v>
      </c>
      <c r="F198" s="1706" t="str">
        <f>X169</f>
        <v>1.29</v>
      </c>
      <c r="G198" s="1706"/>
      <c r="H198" s="76" t="s">
        <v>247</v>
      </c>
      <c r="I198" s="220">
        <f>+V178</f>
        <v>5.25</v>
      </c>
      <c r="J198" s="76" t="s">
        <v>247</v>
      </c>
      <c r="K198" s="1699">
        <f>+F143</f>
        <v>25.8992</v>
      </c>
      <c r="L198" s="1699"/>
      <c r="M198" s="1699"/>
      <c r="N198" s="76" t="s">
        <v>248</v>
      </c>
      <c r="O198" s="1707" t="str">
        <f>X170</f>
        <v>0.40</v>
      </c>
      <c r="P198" s="1707"/>
      <c r="Q198" s="76" t="s">
        <v>249</v>
      </c>
      <c r="R198" s="1700">
        <f>+P178</f>
        <v>9.43</v>
      </c>
      <c r="S198" s="1700"/>
      <c r="T198" s="76" t="s">
        <v>249</v>
      </c>
      <c r="U198" s="1698">
        <f>G5</f>
        <v>8.4</v>
      </c>
      <c r="V198" s="1698"/>
      <c r="W198" s="76" t="s">
        <v>249</v>
      </c>
      <c r="X198" s="1699">
        <f>L143</f>
        <v>13.022</v>
      </c>
      <c r="Y198" s="1699"/>
      <c r="Z198" s="1699"/>
      <c r="AB198" s="77"/>
      <c r="AC198" s="2"/>
    </row>
    <row r="199" spans="1:29" ht="17.25" customHeight="1">
      <c r="A199" s="6"/>
      <c r="B199" s="77"/>
      <c r="C199" s="76"/>
      <c r="D199" s="76"/>
      <c r="E199" s="76"/>
      <c r="F199" s="219"/>
      <c r="G199" s="219"/>
      <c r="H199" s="76"/>
      <c r="I199" s="222"/>
      <c r="J199" s="222"/>
      <c r="K199" s="222"/>
      <c r="L199" s="76"/>
      <c r="M199" s="76"/>
      <c r="N199" s="76"/>
      <c r="O199" s="76"/>
      <c r="P199" s="76"/>
      <c r="Q199" s="76"/>
      <c r="R199" s="76"/>
      <c r="S199" s="76"/>
      <c r="T199" s="221"/>
      <c r="U199" s="76"/>
      <c r="V199" s="76"/>
      <c r="W199" s="76"/>
      <c r="X199" s="76"/>
      <c r="Y199" s="76"/>
      <c r="Z199" s="77"/>
      <c r="AA199" s="77"/>
      <c r="AB199" s="77"/>
      <c r="AC199" s="2"/>
    </row>
    <row r="200" spans="1:29" ht="17.25" customHeight="1">
      <c r="A200" s="6"/>
      <c r="B200" s="74"/>
      <c r="C200" s="74"/>
      <c r="D200" s="74"/>
      <c r="E200" s="73" t="s">
        <v>248</v>
      </c>
      <c r="F200" s="1711">
        <f>+AK155</f>
        <v>18</v>
      </c>
      <c r="G200" s="1711"/>
      <c r="H200" s="1711"/>
      <c r="I200" s="76" t="s">
        <v>249</v>
      </c>
      <c r="J200" s="1068">
        <f>+J178</f>
        <v>5.0999999999999996</v>
      </c>
      <c r="K200" s="1068"/>
      <c r="L200" s="76" t="s">
        <v>249</v>
      </c>
      <c r="M200" s="1699">
        <f>S143</f>
        <v>9.3360000000000003</v>
      </c>
      <c r="N200" s="1699"/>
      <c r="O200" s="1699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7"/>
      <c r="AA200" s="77"/>
      <c r="AB200" s="77"/>
      <c r="AC200" s="2"/>
    </row>
    <row r="201" spans="1:29" ht="17.25" customHeight="1">
      <c r="A201" s="6"/>
      <c r="B201" s="74"/>
      <c r="C201" s="74"/>
      <c r="D201" s="74"/>
      <c r="E201" s="73"/>
      <c r="F201" s="221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7"/>
      <c r="AA201" s="77"/>
      <c r="AB201" s="77"/>
      <c r="AC201" s="2"/>
    </row>
    <row r="202" spans="1:29" ht="17.25" customHeight="1">
      <c r="A202" s="6"/>
      <c r="B202" s="74"/>
      <c r="C202" s="74"/>
      <c r="D202" s="74"/>
      <c r="E202" s="73" t="s">
        <v>90</v>
      </c>
      <c r="F202" s="1701">
        <f>F198*I198*K198+O198*R198*U198*X198+F200*J200*M200</f>
        <v>1445.0465976</v>
      </c>
      <c r="G202" s="1701"/>
      <c r="H202" s="1701"/>
      <c r="I202" s="73" t="s">
        <v>250</v>
      </c>
      <c r="J202" s="73"/>
      <c r="K202" s="73"/>
      <c r="L202" s="73"/>
      <c r="M202" s="73"/>
      <c r="N202" s="73"/>
      <c r="O202" s="73"/>
      <c r="P202" s="73"/>
      <c r="Q202" s="73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9" ht="17.25" customHeight="1">
      <c r="A203" s="6"/>
      <c r="B203" s="74"/>
      <c r="C203" s="74"/>
      <c r="D203" s="74"/>
      <c r="E203" s="73"/>
      <c r="F203" s="223"/>
      <c r="G203" s="223"/>
      <c r="H203" s="223"/>
      <c r="I203" s="73"/>
      <c r="J203" s="73"/>
      <c r="K203" s="73"/>
      <c r="L203" s="73"/>
      <c r="M203" s="73"/>
      <c r="N203" s="73"/>
      <c r="O203" s="73"/>
      <c r="P203" s="73"/>
      <c r="Q203" s="73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9" ht="17.25" customHeight="1">
      <c r="A204" s="224"/>
      <c r="B204" s="94"/>
      <c r="C204" s="94" t="s">
        <v>251</v>
      </c>
      <c r="D204" s="94"/>
      <c r="E204" s="225"/>
      <c r="F204" s="226"/>
      <c r="G204" s="226" t="s">
        <v>90</v>
      </c>
      <c r="H204" s="1708">
        <f>F202</f>
        <v>1445.0465976</v>
      </c>
      <c r="I204" s="1708"/>
      <c r="J204" s="1708"/>
      <c r="K204" s="225" t="s">
        <v>250</v>
      </c>
      <c r="L204" s="225"/>
      <c r="M204" s="225"/>
      <c r="N204" s="225"/>
      <c r="O204" s="225"/>
      <c r="P204" s="225"/>
      <c r="Q204" s="22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9" ht="15" customHeight="1">
      <c r="A205" s="224"/>
      <c r="B205" s="94"/>
      <c r="C205" s="94"/>
      <c r="D205" s="94"/>
      <c r="E205" s="225"/>
      <c r="F205" s="226"/>
      <c r="G205" s="226"/>
      <c r="H205" s="227"/>
      <c r="I205" s="227"/>
      <c r="J205" s="227"/>
      <c r="K205" s="225"/>
      <c r="L205" s="225"/>
      <c r="M205" s="225"/>
      <c r="N205" s="225"/>
      <c r="O205" s="225"/>
      <c r="P205" s="225"/>
      <c r="Q205" s="22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9" ht="15" customHeight="1">
      <c r="A206" s="224"/>
      <c r="B206" s="94"/>
      <c r="C206" s="1696" t="s">
        <v>252</v>
      </c>
      <c r="D206" s="1696"/>
      <c r="E206" s="1696"/>
      <c r="F206" s="1696"/>
      <c r="G206" s="229" t="s">
        <v>90</v>
      </c>
      <c r="H206" s="1709">
        <f>H204</f>
        <v>1445.0465976</v>
      </c>
      <c r="I206" s="1709"/>
      <c r="J206" s="1709"/>
      <c r="K206" s="231" t="s">
        <v>181</v>
      </c>
      <c r="L206" s="891">
        <v>3</v>
      </c>
      <c r="M206" s="891"/>
      <c r="N206" s="228" t="s">
        <v>90</v>
      </c>
      <c r="O206" s="1710">
        <f>H206/L206</f>
        <v>481.68219920000001</v>
      </c>
      <c r="P206" s="1710"/>
      <c r="Q206" s="1710"/>
      <c r="R206" s="234" t="s">
        <v>253</v>
      </c>
      <c r="S206" s="234"/>
      <c r="T206" s="235"/>
      <c r="U206" s="235"/>
      <c r="V206" s="235"/>
      <c r="W206" s="85"/>
      <c r="X206" s="85"/>
      <c r="Y206" s="85"/>
      <c r="Z206" s="85"/>
      <c r="AA206" s="85"/>
      <c r="AB206" s="85"/>
    </row>
    <row r="207" spans="1:29" ht="15" customHeight="1">
      <c r="A207" s="224"/>
      <c r="B207" s="94"/>
      <c r="C207" s="228"/>
      <c r="D207" s="228"/>
      <c r="E207" s="228"/>
      <c r="F207" s="228"/>
      <c r="G207" s="229"/>
      <c r="H207" s="230"/>
      <c r="I207" s="230"/>
      <c r="J207" s="230"/>
      <c r="K207" s="231"/>
      <c r="L207" s="232"/>
      <c r="M207" s="232"/>
      <c r="N207" s="228"/>
      <c r="O207" s="233"/>
      <c r="P207" s="233"/>
      <c r="Q207" s="233"/>
      <c r="R207" s="234"/>
      <c r="S207" s="234"/>
      <c r="T207" s="235"/>
      <c r="U207" s="235"/>
      <c r="V207" s="235"/>
      <c r="W207" s="85"/>
      <c r="X207" s="85"/>
      <c r="Y207" s="85"/>
      <c r="Z207" s="85"/>
      <c r="AA207" s="85"/>
      <c r="AB207" s="85"/>
    </row>
    <row r="208" spans="1:29" ht="26.25" customHeight="1">
      <c r="A208" s="130"/>
      <c r="B208" s="1314" t="s">
        <v>254</v>
      </c>
      <c r="C208" s="1314"/>
      <c r="D208" s="1314"/>
      <c r="E208" s="1314"/>
      <c r="F208" s="1314"/>
      <c r="G208" s="1314"/>
      <c r="H208" s="1314"/>
      <c r="I208" s="1314"/>
      <c r="J208" s="1314"/>
      <c r="K208" s="1314"/>
      <c r="L208" s="1314"/>
      <c r="M208" s="1314"/>
      <c r="N208" s="1314"/>
      <c r="O208" s="1314"/>
      <c r="P208" s="1314"/>
      <c r="Q208" s="1314"/>
      <c r="R208" s="1314"/>
      <c r="S208" s="1695">
        <f>+O206</f>
        <v>481.68219920000001</v>
      </c>
      <c r="T208" s="1695"/>
      <c r="U208" s="1695"/>
      <c r="V208" s="1695"/>
      <c r="W208" s="1695"/>
      <c r="X208" s="1695"/>
      <c r="Y208" s="1695"/>
      <c r="Z208" s="1695"/>
      <c r="AA208" s="236"/>
      <c r="AB208" s="236"/>
    </row>
    <row r="209" spans="1:31" ht="26.25" customHeight="1">
      <c r="A209" s="130"/>
      <c r="B209" s="1316" t="s">
        <v>255</v>
      </c>
      <c r="C209" s="1316"/>
      <c r="D209" s="1316"/>
      <c r="E209" s="1316"/>
      <c r="F209" s="1316"/>
      <c r="G209" s="1316"/>
      <c r="H209" s="1316"/>
      <c r="I209" s="1316"/>
      <c r="J209" s="1316"/>
      <c r="K209" s="1316"/>
      <c r="L209" s="1316"/>
      <c r="M209" s="1316"/>
      <c r="N209" s="1316"/>
      <c r="O209" s="1316"/>
      <c r="P209" s="1316"/>
      <c r="Q209" s="1316"/>
      <c r="R209" s="1316"/>
      <c r="S209" s="1317">
        <f>+S5</f>
        <v>150</v>
      </c>
      <c r="T209" s="1317"/>
      <c r="U209" s="1317"/>
      <c r="V209" s="1317"/>
      <c r="W209" s="1317"/>
      <c r="X209" s="1317"/>
      <c r="Y209" s="1317"/>
      <c r="Z209" s="1317"/>
      <c r="AA209" s="237"/>
      <c r="AB209" s="237"/>
      <c r="AE209" s="145" t="s">
        <v>256</v>
      </c>
    </row>
    <row r="210" spans="1:31" ht="26.25" customHeight="1">
      <c r="A210" s="130"/>
      <c r="B210" s="1318" t="s">
        <v>257</v>
      </c>
      <c r="C210" s="1318"/>
      <c r="D210" s="1318"/>
      <c r="E210" s="1318"/>
      <c r="F210" s="1318"/>
      <c r="G210" s="1318"/>
      <c r="H210" s="1318"/>
      <c r="I210" s="1318"/>
      <c r="J210" s="1318"/>
      <c r="K210" s="1318"/>
      <c r="L210" s="1318"/>
      <c r="M210" s="1318"/>
      <c r="N210" s="1318"/>
      <c r="O210" s="1318"/>
      <c r="P210" s="1318"/>
      <c r="Q210" s="1318"/>
      <c r="R210" s="1318"/>
      <c r="S210" s="1318" t="str">
        <f>IF(S208 &gt;= S209, "O.K", "N.G")</f>
        <v>O.K</v>
      </c>
      <c r="T210" s="1318"/>
      <c r="U210" s="1318"/>
      <c r="V210" s="1318"/>
      <c r="W210" s="1318"/>
      <c r="X210" s="1318"/>
      <c r="Y210" s="1318"/>
      <c r="Z210" s="1318"/>
      <c r="AA210" s="238"/>
      <c r="AB210" s="238"/>
    </row>
    <row r="211" spans="1:31" ht="15" customHeight="1">
      <c r="A211" s="130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</row>
    <row r="212" spans="1:31" ht="15" customHeight="1">
      <c r="A212" s="130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</row>
    <row r="213" spans="1:31" ht="15" customHeight="1">
      <c r="A213" s="130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</row>
    <row r="214" spans="1:31" ht="15" customHeight="1">
      <c r="A214" s="130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</row>
    <row r="215" spans="1:31" ht="15" customHeight="1">
      <c r="A215" s="136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</row>
    <row r="216" spans="1:31" ht="15" customHeight="1">
      <c r="A216" s="136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</row>
    <row r="217" spans="1:31" ht="15" customHeight="1">
      <c r="A217" s="136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</row>
    <row r="218" spans="1:31" ht="15" customHeight="1">
      <c r="A218" s="136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</row>
    <row r="219" spans="1:31" ht="15" customHeight="1">
      <c r="A219" s="136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</row>
    <row r="220" spans="1:31" ht="15" customHeight="1">
      <c r="A220" s="130"/>
      <c r="B220" s="82" t="s">
        <v>258</v>
      </c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</row>
    <row r="221" spans="1:31" ht="15" customHeight="1">
      <c r="A221" s="130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</row>
    <row r="222" spans="1:31" ht="27" customHeight="1">
      <c r="A222" s="130"/>
      <c r="B222" s="1517" t="s">
        <v>157</v>
      </c>
      <c r="C222" s="1518"/>
      <c r="D222" s="1518"/>
      <c r="E222" s="1518"/>
      <c r="F222" s="1084" t="s">
        <v>158</v>
      </c>
      <c r="G222" s="1084"/>
      <c r="H222" s="1084"/>
      <c r="I222" s="1084"/>
      <c r="J222" s="1311" t="s">
        <v>232</v>
      </c>
      <c r="K222" s="1312"/>
      <c r="L222" s="1313"/>
      <c r="M222" s="1311" t="s">
        <v>233</v>
      </c>
      <c r="N222" s="1312"/>
      <c r="O222" s="1313"/>
      <c r="P222" s="1311" t="s">
        <v>234</v>
      </c>
      <c r="Q222" s="1312"/>
      <c r="R222" s="1313"/>
      <c r="S222" s="1311" t="s">
        <v>235</v>
      </c>
      <c r="T222" s="1312"/>
      <c r="U222" s="1313"/>
      <c r="V222" s="1311" t="s">
        <v>236</v>
      </c>
      <c r="W222" s="1312"/>
      <c r="X222" s="1312"/>
      <c r="Y222" s="1312"/>
      <c r="Z222" s="1312"/>
      <c r="AA222" s="239"/>
      <c r="AB222" s="239"/>
    </row>
    <row r="223" spans="1:31" ht="27" customHeight="1">
      <c r="A223" s="130"/>
      <c r="B223" s="1238">
        <f>$G$5</f>
        <v>8.4</v>
      </c>
      <c r="C223" s="1525"/>
      <c r="D223" s="1525"/>
      <c r="E223" s="1525"/>
      <c r="F223" s="1332">
        <f>$K$5</f>
        <v>8.8000000000000007</v>
      </c>
      <c r="G223" s="1332"/>
      <c r="H223" s="1332"/>
      <c r="I223" s="1332"/>
      <c r="J223" s="1251">
        <f>+$O$5+Q96/1000</f>
        <v>5.6</v>
      </c>
      <c r="K223" s="1252"/>
      <c r="L223" s="1253"/>
      <c r="M223" s="1251">
        <f>+$S$5</f>
        <v>150</v>
      </c>
      <c r="N223" s="1252"/>
      <c r="O223" s="1253"/>
      <c r="P223" s="1251">
        <f>+$AK$154</f>
        <v>9.43</v>
      </c>
      <c r="Q223" s="1252"/>
      <c r="R223" s="1253"/>
      <c r="S223" s="1308">
        <f>+$AK$155</f>
        <v>18</v>
      </c>
      <c r="T223" s="1309"/>
      <c r="U223" s="1310"/>
      <c r="V223" s="1308">
        <f>+U116</f>
        <v>5.16</v>
      </c>
      <c r="W223" s="1309"/>
      <c r="X223" s="1309"/>
      <c r="Y223" s="1309"/>
      <c r="Z223" s="1309"/>
      <c r="AA223" s="239"/>
      <c r="AB223" s="239"/>
    </row>
    <row r="224" spans="1:31" ht="15" customHeight="1">
      <c r="A224" s="212"/>
      <c r="C224" s="6"/>
      <c r="D224" s="6"/>
      <c r="E224" s="82"/>
      <c r="F224" s="21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spans="1:64" ht="15" customHeight="1">
      <c r="A225" s="6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64" ht="15" customHeight="1">
      <c r="A226" s="77"/>
      <c r="B226" s="77" t="s">
        <v>237</v>
      </c>
      <c r="C226" s="213"/>
      <c r="D226" s="77" t="s">
        <v>238</v>
      </c>
      <c r="E226" s="77" t="s">
        <v>239</v>
      </c>
      <c r="F226" s="77"/>
      <c r="G226" s="77"/>
      <c r="H226" s="77"/>
      <c r="I226" s="77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</row>
    <row r="227" spans="1:64" ht="21" customHeight="1">
      <c r="A227" s="77"/>
      <c r="B227" s="77"/>
      <c r="C227" s="213"/>
      <c r="D227" s="77"/>
      <c r="E227" s="77"/>
      <c r="F227" s="77"/>
      <c r="G227" s="77"/>
      <c r="H227" s="77"/>
      <c r="I227" s="77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</row>
    <row r="228" spans="1:64" ht="21" customHeight="1">
      <c r="A228" s="77"/>
      <c r="B228" s="77"/>
      <c r="C228" s="213"/>
      <c r="D228" s="213"/>
      <c r="E228" s="213" t="s">
        <v>240</v>
      </c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215"/>
    </row>
    <row r="229" spans="1:64" ht="21" customHeight="1">
      <c r="A229" s="77"/>
      <c r="B229" s="77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215"/>
    </row>
    <row r="230" spans="1:64" ht="21" customHeight="1">
      <c r="A230" s="77"/>
      <c r="B230" s="77"/>
      <c r="C230" s="213"/>
      <c r="D230" s="213"/>
      <c r="E230" s="213" t="s">
        <v>241</v>
      </c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215"/>
    </row>
    <row r="231" spans="1:64" ht="24.75" customHeight="1">
      <c r="A231" s="77"/>
      <c r="B231" s="77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215"/>
    </row>
    <row r="232" spans="1:64" ht="12.75" customHeight="1">
      <c r="A232" s="77"/>
      <c r="B232" s="77"/>
      <c r="C232" s="213"/>
      <c r="D232" s="213"/>
      <c r="E232" s="213" t="s">
        <v>242</v>
      </c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64" ht="12.75" customHeight="1">
      <c r="A233" s="77"/>
      <c r="B233" s="77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64" ht="16.5" customHeight="1">
      <c r="A234" s="77"/>
      <c r="B234" s="77"/>
      <c r="C234" s="213"/>
      <c r="D234" s="77"/>
      <c r="E234" s="77" t="s">
        <v>243</v>
      </c>
      <c r="F234" s="77"/>
      <c r="G234" s="77"/>
      <c r="H234" s="77"/>
      <c r="I234" s="77"/>
      <c r="J234" s="218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64" ht="16.5" customHeight="1">
      <c r="A235" s="77"/>
      <c r="B235" s="77"/>
      <c r="C235" s="213"/>
      <c r="D235" s="77"/>
      <c r="E235" s="77"/>
      <c r="F235" s="77"/>
      <c r="G235" s="77"/>
      <c r="H235" s="77"/>
      <c r="I235" s="77"/>
      <c r="J235" s="218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X235" s="3"/>
      <c r="AY235" s="3"/>
      <c r="AZ235" s="5"/>
      <c r="BA235" s="5"/>
    </row>
    <row r="236" spans="1:64" ht="16.5" customHeight="1">
      <c r="A236" s="77"/>
      <c r="B236" s="77"/>
      <c r="C236" s="77"/>
      <c r="D236" s="77"/>
      <c r="E236" s="77" t="s">
        <v>244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D236" s="11"/>
      <c r="AE236" s="12"/>
      <c r="AF236" s="13"/>
      <c r="AG236" s="13"/>
      <c r="AT236" s="13"/>
      <c r="AU236" s="13"/>
      <c r="AV236" s="13"/>
      <c r="AW236" s="13"/>
      <c r="AX236" s="15"/>
      <c r="AY236" s="16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</row>
    <row r="237" spans="1:64" ht="16.5" customHeight="1">
      <c r="A237" s="6"/>
      <c r="B237" s="13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D237" s="11"/>
      <c r="AE237" s="12"/>
      <c r="AF237" s="13"/>
      <c r="AG237" s="13"/>
      <c r="AS237" s="14"/>
      <c r="AT237" s="13"/>
      <c r="AU237" s="13"/>
      <c r="AV237" s="13"/>
      <c r="AW237" s="13"/>
      <c r="AX237" s="15"/>
      <c r="AY237" s="16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</row>
    <row r="238" spans="1:64" ht="16.5" customHeight="1">
      <c r="A238" s="6"/>
      <c r="B238" s="131"/>
      <c r="C238" s="74"/>
      <c r="D238" s="74"/>
      <c r="E238" s="73" t="s">
        <v>259</v>
      </c>
      <c r="F238" s="157"/>
      <c r="G238" s="158"/>
      <c r="H238" s="158"/>
      <c r="I238" s="74"/>
      <c r="J238" s="76"/>
      <c r="K238" s="73"/>
      <c r="L238" s="76"/>
      <c r="M238" s="119" t="s">
        <v>90</v>
      </c>
      <c r="N238" s="1702">
        <f>+U116</f>
        <v>5.16</v>
      </c>
      <c r="O238" s="1702"/>
      <c r="P238" s="1702"/>
      <c r="Q238" s="1703" t="s">
        <v>15</v>
      </c>
      <c r="R238" s="1703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D238" s="11"/>
      <c r="AE238" s="12"/>
      <c r="AF238" s="13"/>
      <c r="AG238" s="13"/>
      <c r="AS238" s="14"/>
      <c r="AT238" s="13"/>
      <c r="AU238" s="13"/>
      <c r="AV238" s="13"/>
      <c r="AW238" s="13"/>
      <c r="AX238" s="15"/>
      <c r="AY238" s="16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</row>
    <row r="239" spans="1:64" ht="16.5" customHeight="1">
      <c r="A239" s="6"/>
      <c r="B239" s="131"/>
      <c r="C239" s="74"/>
      <c r="D239" s="74"/>
      <c r="E239" s="158"/>
      <c r="F239" s="157"/>
      <c r="G239" s="158"/>
      <c r="H239" s="158"/>
      <c r="I239" s="74"/>
      <c r="J239" s="76"/>
      <c r="K239" s="73"/>
      <c r="L239" s="76"/>
      <c r="M239" s="76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D239" s="11"/>
      <c r="AE239" s="12"/>
      <c r="AF239" s="13"/>
      <c r="AG239" s="13"/>
      <c r="AS239" s="14"/>
      <c r="AT239" s="13"/>
      <c r="AU239" s="13"/>
      <c r="AV239" s="13"/>
      <c r="AW239" s="13"/>
      <c r="AX239" s="15"/>
      <c r="AY239" s="16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</row>
    <row r="240" spans="1:64" ht="16.5" customHeight="1">
      <c r="A240" s="6"/>
      <c r="B240" s="131"/>
      <c r="C240" s="74"/>
      <c r="D240" s="74"/>
      <c r="E240" s="73" t="s">
        <v>260</v>
      </c>
      <c r="F240" s="157"/>
      <c r="G240" s="158"/>
      <c r="H240" s="158"/>
      <c r="I240" s="74"/>
      <c r="J240" s="76"/>
      <c r="K240" s="73"/>
      <c r="L240" s="76"/>
      <c r="M240" s="119" t="s">
        <v>90</v>
      </c>
      <c r="N240" s="1704">
        <f>+U119</f>
        <v>25.56</v>
      </c>
      <c r="O240" s="1704"/>
      <c r="P240" s="1704"/>
      <c r="Q240" s="1705" t="s">
        <v>131</v>
      </c>
      <c r="R240" s="1068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D240" s="11"/>
      <c r="AE240" s="12"/>
      <c r="AF240" s="13"/>
      <c r="AG240" s="13"/>
      <c r="AS240" s="14"/>
      <c r="AT240" s="13"/>
      <c r="AU240" s="13"/>
      <c r="AV240" s="13"/>
      <c r="AW240" s="13"/>
      <c r="AX240" s="15"/>
      <c r="AY240" s="16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</row>
    <row r="241" spans="1:64" ht="16.5" customHeight="1">
      <c r="A241" s="6"/>
      <c r="B241" s="13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D241" s="11"/>
      <c r="AE241" s="12"/>
      <c r="AF241" s="13"/>
      <c r="AG241" s="13"/>
      <c r="AS241" s="14"/>
      <c r="AT241" s="13"/>
      <c r="AU241" s="13"/>
      <c r="AV241" s="13"/>
      <c r="AW241" s="13"/>
      <c r="AX241" s="15"/>
      <c r="AY241" s="16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</row>
    <row r="242" spans="1:64" ht="16.5" customHeight="1">
      <c r="A242" s="6"/>
      <c r="B242" s="77"/>
      <c r="C242" s="1068" t="s">
        <v>237</v>
      </c>
      <c r="D242" s="1068"/>
      <c r="E242" s="76" t="s">
        <v>90</v>
      </c>
      <c r="F242" s="1706" t="str">
        <f>+X169</f>
        <v>1.29</v>
      </c>
      <c r="G242" s="1706"/>
      <c r="H242" s="76" t="s">
        <v>247</v>
      </c>
      <c r="I242" s="220">
        <f>+V223</f>
        <v>5.16</v>
      </c>
      <c r="J242" s="76" t="s">
        <v>247</v>
      </c>
      <c r="K242" s="1699">
        <f>+F146</f>
        <v>27.194299999999998</v>
      </c>
      <c r="L242" s="1699"/>
      <c r="M242" s="1699"/>
      <c r="N242" s="76" t="s">
        <v>248</v>
      </c>
      <c r="O242" s="1707" t="str">
        <f>+X170</f>
        <v>0.40</v>
      </c>
      <c r="P242" s="1707"/>
      <c r="Q242" s="76" t="s">
        <v>249</v>
      </c>
      <c r="R242" s="1700">
        <f>+P223</f>
        <v>9.43</v>
      </c>
      <c r="S242" s="1700"/>
      <c r="T242" s="76" t="s">
        <v>249</v>
      </c>
      <c r="U242" s="1698">
        <f>+B223</f>
        <v>8.4</v>
      </c>
      <c r="V242" s="1698"/>
      <c r="W242" s="76" t="s">
        <v>249</v>
      </c>
      <c r="X242" s="1699">
        <f>+L146</f>
        <v>14.006</v>
      </c>
      <c r="Y242" s="1699"/>
      <c r="Z242" s="1699"/>
      <c r="AA242" s="242"/>
      <c r="AB242" s="77"/>
      <c r="AD242" s="11"/>
      <c r="AE242" s="12"/>
      <c r="AF242" s="13"/>
      <c r="AG242" s="13"/>
      <c r="AS242" s="14"/>
      <c r="AT242" s="13"/>
      <c r="AU242" s="13"/>
      <c r="AV242" s="13"/>
      <c r="AW242" s="13"/>
      <c r="AX242" s="15"/>
      <c r="AY242" s="16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</row>
    <row r="243" spans="1:64" ht="16.5" customHeight="1">
      <c r="A243" s="6"/>
      <c r="B243" s="77"/>
      <c r="C243" s="76"/>
      <c r="D243" s="76"/>
      <c r="E243" s="76"/>
      <c r="F243" s="219"/>
      <c r="G243" s="219"/>
      <c r="H243" s="76"/>
      <c r="I243" s="222"/>
      <c r="J243" s="222"/>
      <c r="K243" s="222"/>
      <c r="L243" s="76"/>
      <c r="M243" s="76"/>
      <c r="N243" s="76"/>
      <c r="O243" s="76"/>
      <c r="P243" s="76"/>
      <c r="Q243" s="76"/>
      <c r="R243" s="76"/>
      <c r="S243" s="76"/>
      <c r="T243" s="221"/>
      <c r="U243" s="76"/>
      <c r="V243" s="76"/>
      <c r="W243" s="76"/>
      <c r="X243" s="76"/>
      <c r="Y243" s="76"/>
      <c r="Z243" s="77"/>
      <c r="AA243" s="77"/>
      <c r="AB243" s="77"/>
      <c r="AD243" s="11"/>
      <c r="AE243" s="12"/>
      <c r="AF243" s="13"/>
      <c r="AG243" s="13"/>
      <c r="AS243" s="14"/>
      <c r="AT243" s="13"/>
      <c r="AU243" s="13"/>
      <c r="AV243" s="13"/>
      <c r="AW243" s="13"/>
      <c r="AX243" s="15"/>
      <c r="AY243" s="16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</row>
    <row r="244" spans="1:64" ht="16.5" customHeight="1">
      <c r="A244" s="6"/>
      <c r="B244" s="74"/>
      <c r="C244" s="74"/>
      <c r="D244" s="74"/>
      <c r="E244" s="73" t="s">
        <v>248</v>
      </c>
      <c r="F244" s="1700">
        <f>+AK155</f>
        <v>18</v>
      </c>
      <c r="G244" s="1700"/>
      <c r="H244" s="1700"/>
      <c r="I244" s="76" t="s">
        <v>249</v>
      </c>
      <c r="J244" s="1068">
        <f>+J223</f>
        <v>5.6</v>
      </c>
      <c r="K244" s="1068"/>
      <c r="L244" s="76" t="s">
        <v>249</v>
      </c>
      <c r="M244" s="1698">
        <f>S146</f>
        <v>10.32</v>
      </c>
      <c r="N244" s="1698"/>
      <c r="O244" s="1698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7"/>
      <c r="AA244" s="77"/>
      <c r="AB244" s="77"/>
      <c r="AD244" s="11"/>
      <c r="AE244" s="12"/>
      <c r="AF244" s="13"/>
      <c r="AG244" s="13"/>
      <c r="AS244" s="14"/>
      <c r="AT244" s="13"/>
      <c r="AU244" s="13"/>
      <c r="AV244" s="13"/>
      <c r="AW244" s="13"/>
      <c r="AX244" s="15"/>
      <c r="AY244" s="16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</row>
    <row r="245" spans="1:64" ht="16.5" customHeight="1">
      <c r="A245" s="6"/>
      <c r="B245" s="74"/>
      <c r="C245" s="74"/>
      <c r="D245" s="74"/>
      <c r="E245" s="73"/>
      <c r="F245" s="221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7"/>
      <c r="AA245" s="77"/>
      <c r="AB245" s="77"/>
      <c r="AD245" s="11"/>
      <c r="AE245" s="12"/>
      <c r="AF245" s="13"/>
      <c r="AG245" s="13"/>
      <c r="AS245" s="14"/>
      <c r="AT245" s="13"/>
      <c r="AU245" s="13"/>
      <c r="AV245" s="13"/>
      <c r="AW245" s="13"/>
      <c r="AX245" s="15"/>
      <c r="AY245" s="16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</row>
    <row r="246" spans="1:64" ht="16.5" customHeight="1">
      <c r="A246" s="6"/>
      <c r="B246" s="74"/>
      <c r="C246" s="74"/>
      <c r="D246" s="74"/>
      <c r="E246" s="73" t="s">
        <v>90</v>
      </c>
      <c r="F246" s="1701">
        <f>+F242*I242*K242+O242*R242*U242*X242+F244*J244*M244</f>
        <v>1665.0494473200001</v>
      </c>
      <c r="G246" s="1701"/>
      <c r="H246" s="1701"/>
      <c r="I246" s="73" t="s">
        <v>250</v>
      </c>
      <c r="J246" s="73"/>
      <c r="K246" s="73"/>
      <c r="L246" s="73"/>
      <c r="M246" s="73"/>
      <c r="N246" s="73"/>
      <c r="O246" s="73"/>
      <c r="P246" s="73"/>
      <c r="Q246" s="73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D246" s="11"/>
      <c r="AE246" s="12"/>
      <c r="AF246" s="13"/>
      <c r="AG246" s="13"/>
      <c r="AS246" s="14"/>
      <c r="AT246" s="13"/>
      <c r="AU246" s="13"/>
      <c r="AV246" s="13"/>
      <c r="AW246" s="13"/>
      <c r="AX246" s="15"/>
      <c r="AY246" s="16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</row>
    <row r="247" spans="1:64" ht="16.5" customHeight="1">
      <c r="A247" s="6"/>
      <c r="B247" s="74"/>
      <c r="C247" s="74"/>
      <c r="D247" s="74"/>
      <c r="E247" s="73"/>
      <c r="F247" s="223"/>
      <c r="G247" s="223"/>
      <c r="H247" s="223"/>
      <c r="I247" s="73"/>
      <c r="J247" s="73"/>
      <c r="K247" s="73"/>
      <c r="L247" s="73"/>
      <c r="M247" s="73"/>
      <c r="N247" s="73"/>
      <c r="O247" s="73"/>
      <c r="P247" s="73"/>
      <c r="Q247" s="73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D247" s="11"/>
      <c r="AE247" s="12"/>
      <c r="AF247" s="13"/>
      <c r="AG247" s="13"/>
      <c r="AS247" s="14"/>
      <c r="AT247" s="13"/>
      <c r="AU247" s="13"/>
      <c r="AV247" s="13"/>
      <c r="AW247" s="13"/>
      <c r="AX247" s="15"/>
      <c r="AY247" s="16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</row>
    <row r="248" spans="1:64" ht="16.5" customHeight="1">
      <c r="A248" s="224"/>
      <c r="B248" s="94"/>
      <c r="C248" s="94" t="s">
        <v>251</v>
      </c>
      <c r="D248" s="94"/>
      <c r="E248" s="225"/>
      <c r="F248" s="226"/>
      <c r="G248" s="226" t="s">
        <v>90</v>
      </c>
      <c r="H248" s="1262">
        <f>ROUND(F246,2)</f>
        <v>1665.05</v>
      </c>
      <c r="I248" s="1262"/>
      <c r="J248" s="1262"/>
      <c r="K248" s="225" t="s">
        <v>250</v>
      </c>
      <c r="L248" s="225"/>
      <c r="M248" s="225"/>
      <c r="N248" s="225"/>
      <c r="O248" s="225"/>
      <c r="P248" s="225"/>
      <c r="Q248" s="22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D248" s="11"/>
      <c r="AE248" s="12"/>
      <c r="AF248" s="13"/>
      <c r="AG248" s="13"/>
      <c r="AS248" s="14"/>
      <c r="AT248" s="13"/>
      <c r="AU248" s="13"/>
      <c r="AV248" s="13"/>
      <c r="AW248" s="13"/>
      <c r="AX248" s="15"/>
      <c r="AY248" s="16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</row>
    <row r="249" spans="1:64" ht="16.5" customHeight="1">
      <c r="A249" s="224"/>
      <c r="B249" s="94"/>
      <c r="C249" s="94"/>
      <c r="D249" s="94"/>
      <c r="E249" s="225"/>
      <c r="F249" s="226"/>
      <c r="G249" s="226"/>
      <c r="H249" s="227"/>
      <c r="I249" s="227"/>
      <c r="J249" s="227"/>
      <c r="K249" s="225"/>
      <c r="L249" s="225"/>
      <c r="M249" s="225"/>
      <c r="N249" s="225"/>
      <c r="O249" s="225"/>
      <c r="P249" s="225"/>
      <c r="Q249" s="22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D249" s="11"/>
      <c r="AE249" s="12"/>
      <c r="AF249" s="13"/>
      <c r="AG249" s="13"/>
      <c r="AS249" s="14"/>
      <c r="AT249" s="13"/>
      <c r="AU249" s="13"/>
      <c r="AV249" s="13"/>
      <c r="AW249" s="13"/>
      <c r="AX249" s="15"/>
      <c r="AY249" s="16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</row>
    <row r="250" spans="1:64" ht="16.5" customHeight="1">
      <c r="A250" s="224"/>
      <c r="B250" s="94"/>
      <c r="C250" s="1696" t="s">
        <v>252</v>
      </c>
      <c r="D250" s="1696"/>
      <c r="E250" s="1696"/>
      <c r="F250" s="1696"/>
      <c r="G250" s="229" t="s">
        <v>90</v>
      </c>
      <c r="H250" s="1697">
        <f>H248</f>
        <v>1665.05</v>
      </c>
      <c r="I250" s="1697"/>
      <c r="J250" s="1697"/>
      <c r="K250" s="231" t="s">
        <v>181</v>
      </c>
      <c r="L250" s="891">
        <v>3</v>
      </c>
      <c r="M250" s="891"/>
      <c r="N250" s="228" t="s">
        <v>90</v>
      </c>
      <c r="O250" s="1697">
        <f>H250/L250</f>
        <v>555.01666666666665</v>
      </c>
      <c r="P250" s="1697"/>
      <c r="Q250" s="1697"/>
      <c r="R250" s="234" t="s">
        <v>253</v>
      </c>
      <c r="S250" s="234"/>
      <c r="T250" s="235"/>
      <c r="U250" s="235"/>
      <c r="V250" s="235"/>
      <c r="W250" s="85"/>
      <c r="X250" s="85"/>
      <c r="Y250" s="85"/>
      <c r="Z250" s="85"/>
      <c r="AA250" s="85"/>
      <c r="AB250" s="85"/>
      <c r="AD250" s="11"/>
      <c r="AE250" s="12"/>
      <c r="AF250" s="13"/>
      <c r="AG250" s="13"/>
      <c r="AS250" s="14"/>
      <c r="AT250" s="13"/>
      <c r="AU250" s="13"/>
      <c r="AV250" s="13"/>
      <c r="AW250" s="13"/>
      <c r="AX250" s="15"/>
      <c r="AY250" s="16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</row>
    <row r="251" spans="1:64" ht="16.5" customHeight="1">
      <c r="A251" s="224"/>
      <c r="B251" s="94"/>
      <c r="C251" s="228"/>
      <c r="D251" s="228"/>
      <c r="E251" s="228"/>
      <c r="F251" s="228"/>
      <c r="G251" s="229"/>
      <c r="H251" s="230"/>
      <c r="I251" s="230"/>
      <c r="J251" s="230"/>
      <c r="K251" s="231"/>
      <c r="L251" s="232"/>
      <c r="M251" s="232"/>
      <c r="N251" s="228"/>
      <c r="O251" s="233"/>
      <c r="P251" s="233"/>
      <c r="Q251" s="233"/>
      <c r="R251" s="234"/>
      <c r="S251" s="234"/>
      <c r="T251" s="235"/>
      <c r="U251" s="235"/>
      <c r="V251" s="235"/>
      <c r="W251" s="85"/>
      <c r="X251" s="85"/>
      <c r="Y251" s="85"/>
      <c r="Z251" s="85"/>
      <c r="AA251" s="85"/>
      <c r="AB251" s="85"/>
      <c r="AD251" s="11"/>
      <c r="AE251" s="12"/>
      <c r="AF251" s="13"/>
      <c r="AG251" s="13"/>
      <c r="AS251" s="14"/>
      <c r="AT251" s="13"/>
      <c r="AU251" s="13"/>
      <c r="AV251" s="13"/>
      <c r="AW251" s="13"/>
      <c r="AX251" s="15"/>
      <c r="AY251" s="16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</row>
    <row r="252" spans="1:64" ht="35.25" customHeight="1">
      <c r="A252" s="130"/>
      <c r="B252" s="1314" t="s">
        <v>254</v>
      </c>
      <c r="C252" s="1314"/>
      <c r="D252" s="1314"/>
      <c r="E252" s="1314"/>
      <c r="F252" s="1314"/>
      <c r="G252" s="1314"/>
      <c r="H252" s="1314"/>
      <c r="I252" s="1314"/>
      <c r="J252" s="1314"/>
      <c r="K252" s="1314"/>
      <c r="L252" s="1314"/>
      <c r="M252" s="1314"/>
      <c r="N252" s="1314"/>
      <c r="O252" s="1314"/>
      <c r="P252" s="1314"/>
      <c r="Q252" s="1314"/>
      <c r="R252" s="1314"/>
      <c r="S252" s="1695">
        <f>+O250</f>
        <v>555.01666666666665</v>
      </c>
      <c r="T252" s="1695"/>
      <c r="U252" s="1695"/>
      <c r="V252" s="1695"/>
      <c r="W252" s="1695"/>
      <c r="X252" s="1695"/>
      <c r="Y252" s="1695"/>
      <c r="Z252" s="1695"/>
      <c r="AA252" s="236"/>
      <c r="AB252" s="236"/>
      <c r="AE252" s="243" t="s">
        <v>256</v>
      </c>
      <c r="AF252" s="13"/>
      <c r="AG252" s="13"/>
      <c r="AS252" s="14"/>
      <c r="AT252" s="13"/>
      <c r="AU252" s="13"/>
      <c r="AV252" s="13"/>
      <c r="AW252" s="13"/>
      <c r="AX252" s="15"/>
      <c r="AY252" s="16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</row>
    <row r="253" spans="1:64" ht="35.25" customHeight="1">
      <c r="A253" s="130"/>
      <c r="B253" s="1316" t="s">
        <v>255</v>
      </c>
      <c r="C253" s="1316"/>
      <c r="D253" s="1316"/>
      <c r="E253" s="1316"/>
      <c r="F253" s="1316"/>
      <c r="G253" s="1316"/>
      <c r="H253" s="1316"/>
      <c r="I253" s="1316"/>
      <c r="J253" s="1316"/>
      <c r="K253" s="1316"/>
      <c r="L253" s="1316"/>
      <c r="M253" s="1316"/>
      <c r="N253" s="1316"/>
      <c r="O253" s="1316"/>
      <c r="P253" s="1316"/>
      <c r="Q253" s="1316"/>
      <c r="R253" s="1316"/>
      <c r="S253" s="1317">
        <f>+S5</f>
        <v>150</v>
      </c>
      <c r="T253" s="1317"/>
      <c r="U253" s="1317"/>
      <c r="V253" s="1317"/>
      <c r="W253" s="1317"/>
      <c r="X253" s="1317"/>
      <c r="Y253" s="1317"/>
      <c r="Z253" s="1317"/>
      <c r="AA253" s="237"/>
      <c r="AB253" s="237"/>
      <c r="AD253" s="11"/>
      <c r="AE253" s="12"/>
      <c r="AF253" s="13"/>
      <c r="AG253" s="13"/>
      <c r="AS253" s="14"/>
      <c r="AT253" s="13"/>
      <c r="AU253" s="13"/>
      <c r="AV253" s="13"/>
      <c r="AW253" s="13"/>
      <c r="AX253" s="15"/>
      <c r="AY253" s="16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</row>
    <row r="254" spans="1:64" ht="35.25" customHeight="1">
      <c r="A254" s="130"/>
      <c r="B254" s="1318" t="s">
        <v>257</v>
      </c>
      <c r="C254" s="1318"/>
      <c r="D254" s="1318"/>
      <c r="E254" s="1318"/>
      <c r="F254" s="1318"/>
      <c r="G254" s="1318"/>
      <c r="H254" s="1318"/>
      <c r="I254" s="1318"/>
      <c r="J254" s="1318"/>
      <c r="K254" s="1318"/>
      <c r="L254" s="1318"/>
      <c r="M254" s="1318"/>
      <c r="N254" s="1318"/>
      <c r="O254" s="1318"/>
      <c r="P254" s="1318"/>
      <c r="Q254" s="1318"/>
      <c r="R254" s="1318"/>
      <c r="S254" s="244" t="str">
        <f>IF(S252 &gt;= S253, "O.K", "N.G")</f>
        <v>O.K</v>
      </c>
      <c r="T254" s="1318"/>
      <c r="U254" s="1318"/>
      <c r="V254" s="1318"/>
      <c r="W254" s="1318"/>
      <c r="X254" s="1318"/>
      <c r="Y254" s="1318"/>
      <c r="Z254" s="1318"/>
      <c r="AA254" s="238"/>
      <c r="AB254" s="238"/>
      <c r="AD254" s="11"/>
      <c r="AE254" s="12"/>
      <c r="AF254" s="13"/>
      <c r="AG254" s="13"/>
      <c r="AS254" s="14"/>
      <c r="AT254" s="13"/>
      <c r="AU254" s="13"/>
      <c r="AV254" s="13"/>
      <c r="AW254" s="13"/>
      <c r="AX254" s="15"/>
      <c r="AY254" s="16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</row>
    <row r="255" spans="1:64" ht="15" customHeight="1">
      <c r="A255" s="130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D255" s="11"/>
      <c r="AE255" s="12"/>
      <c r="AF255" s="13"/>
      <c r="AG255" s="13"/>
      <c r="AS255" s="14"/>
      <c r="AT255" s="13"/>
      <c r="AU255" s="13"/>
      <c r="AV255" s="13"/>
      <c r="AW255" s="13"/>
      <c r="AX255" s="15"/>
      <c r="AY255" s="16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</row>
    <row r="256" spans="1:64" ht="15" customHeight="1">
      <c r="A256" s="224"/>
      <c r="B256" s="94"/>
      <c r="C256" s="228"/>
      <c r="D256" s="228"/>
      <c r="E256" s="228"/>
      <c r="F256" s="228"/>
      <c r="G256" s="229"/>
      <c r="H256" s="230"/>
      <c r="I256" s="230"/>
      <c r="J256" s="230"/>
      <c r="K256" s="231"/>
      <c r="L256" s="232"/>
      <c r="M256" s="232"/>
      <c r="N256" s="228"/>
      <c r="O256" s="233"/>
      <c r="P256" s="233"/>
      <c r="Q256" s="233"/>
      <c r="R256" s="234"/>
      <c r="S256" s="234"/>
      <c r="T256" s="235"/>
      <c r="U256" s="235"/>
      <c r="V256" s="235"/>
      <c r="W256" s="85"/>
      <c r="X256" s="85"/>
      <c r="Y256" s="85"/>
      <c r="Z256" s="85"/>
      <c r="AA256" s="85"/>
      <c r="AB256" s="85"/>
      <c r="AD256" s="11"/>
      <c r="AE256" s="12"/>
      <c r="AF256" s="13"/>
      <c r="AG256" s="13"/>
      <c r="AS256" s="14"/>
      <c r="AT256" s="13"/>
      <c r="AU256" s="13"/>
      <c r="AV256" s="13"/>
      <c r="AW256" s="13"/>
      <c r="AX256" s="15"/>
      <c r="AY256" s="16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</row>
    <row r="257" spans="1:64" ht="15" customHeight="1">
      <c r="A257" s="224"/>
      <c r="B257" s="94"/>
      <c r="C257" s="228"/>
      <c r="D257" s="228"/>
      <c r="E257" s="228"/>
      <c r="F257" s="228"/>
      <c r="G257" s="229"/>
      <c r="H257" s="230"/>
      <c r="I257" s="230"/>
      <c r="J257" s="230"/>
      <c r="K257" s="231"/>
      <c r="L257" s="232"/>
      <c r="M257" s="232"/>
      <c r="N257" s="228"/>
      <c r="O257" s="233"/>
      <c r="P257" s="233"/>
      <c r="Q257" s="233"/>
      <c r="R257" s="234"/>
      <c r="S257" s="234"/>
      <c r="T257" s="235"/>
      <c r="U257" s="235"/>
      <c r="V257" s="235"/>
      <c r="W257" s="85"/>
      <c r="X257" s="85"/>
      <c r="Y257" s="85"/>
      <c r="Z257" s="85"/>
      <c r="AA257" s="85"/>
      <c r="AB257" s="85"/>
      <c r="AD257" s="11"/>
      <c r="AE257" s="12"/>
      <c r="AF257" s="13"/>
      <c r="AG257" s="13"/>
      <c r="AS257" s="14"/>
      <c r="AT257" s="13"/>
      <c r="AU257" s="13"/>
      <c r="AV257" s="13"/>
      <c r="AW257" s="13"/>
      <c r="AX257" s="15"/>
      <c r="AY257" s="16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</row>
    <row r="258" spans="1:64" ht="15" customHeight="1">
      <c r="A258" s="224"/>
      <c r="B258" s="94"/>
      <c r="C258" s="228"/>
      <c r="D258" s="228"/>
      <c r="E258" s="228"/>
      <c r="F258" s="228"/>
      <c r="G258" s="229"/>
      <c r="H258" s="230"/>
      <c r="I258" s="230"/>
      <c r="J258" s="230"/>
      <c r="K258" s="231"/>
      <c r="L258" s="232"/>
      <c r="M258" s="232"/>
      <c r="N258" s="228"/>
      <c r="O258" s="233"/>
      <c r="P258" s="233"/>
      <c r="Q258" s="233"/>
      <c r="R258" s="234"/>
      <c r="S258" s="234"/>
      <c r="T258" s="235"/>
      <c r="U258" s="235"/>
      <c r="V258" s="235"/>
      <c r="W258" s="85"/>
      <c r="X258" s="85"/>
      <c r="Y258" s="85"/>
      <c r="Z258" s="85"/>
      <c r="AA258" s="85"/>
      <c r="AB258" s="85"/>
      <c r="AD258" s="11"/>
      <c r="AE258" s="12"/>
      <c r="AF258" s="13"/>
      <c r="AG258" s="13"/>
      <c r="AS258" s="14"/>
      <c r="AT258" s="13"/>
      <c r="AU258" s="13"/>
      <c r="AV258" s="13"/>
      <c r="AW258" s="13"/>
      <c r="AX258" s="15"/>
      <c r="AY258" s="16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</row>
    <row r="259" spans="1:64" ht="15" customHeight="1">
      <c r="A259" s="224"/>
      <c r="B259" s="94"/>
      <c r="C259" s="228"/>
      <c r="D259" s="228"/>
      <c r="E259" s="228"/>
      <c r="F259" s="228"/>
      <c r="G259" s="229"/>
      <c r="H259" s="230"/>
      <c r="I259" s="230"/>
      <c r="J259" s="230"/>
      <c r="K259" s="231"/>
      <c r="L259" s="232"/>
      <c r="M259" s="232"/>
      <c r="N259" s="228"/>
      <c r="O259" s="233"/>
      <c r="P259" s="233"/>
      <c r="Q259" s="233"/>
      <c r="R259" s="234"/>
      <c r="S259" s="234"/>
      <c r="T259" s="235"/>
      <c r="U259" s="235"/>
      <c r="V259" s="235"/>
      <c r="W259" s="85"/>
      <c r="X259" s="85"/>
      <c r="Y259" s="85"/>
      <c r="Z259" s="85"/>
      <c r="AA259" s="85"/>
      <c r="AB259" s="85"/>
      <c r="AD259" s="11"/>
      <c r="AE259" s="12"/>
      <c r="AF259" s="13"/>
      <c r="AG259" s="13"/>
      <c r="AS259" s="14"/>
      <c r="AT259" s="13"/>
      <c r="AU259" s="13"/>
      <c r="AV259" s="13"/>
      <c r="AW259" s="13"/>
      <c r="AX259" s="15"/>
      <c r="AY259" s="16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</row>
    <row r="260" spans="1:64" ht="15" customHeight="1">
      <c r="A260" s="224"/>
      <c r="B260" s="94"/>
      <c r="C260" s="228"/>
      <c r="D260" s="228"/>
      <c r="E260" s="228"/>
      <c r="F260" s="228"/>
      <c r="G260" s="229"/>
      <c r="H260" s="230"/>
      <c r="I260" s="230"/>
      <c r="J260" s="230"/>
      <c r="K260" s="231"/>
      <c r="L260" s="232"/>
      <c r="M260" s="232"/>
      <c r="N260" s="228"/>
      <c r="O260" s="233"/>
      <c r="P260" s="233"/>
      <c r="Q260" s="233"/>
      <c r="R260" s="234"/>
      <c r="S260" s="234"/>
      <c r="T260" s="235"/>
      <c r="U260" s="235"/>
      <c r="V260" s="235"/>
      <c r="W260" s="85"/>
      <c r="X260" s="85"/>
      <c r="Y260" s="85"/>
      <c r="Z260" s="85"/>
      <c r="AA260" s="85"/>
      <c r="AB260" s="85"/>
      <c r="AD260" s="11"/>
      <c r="AE260" s="12"/>
      <c r="AF260" s="13"/>
      <c r="AG260" s="13"/>
      <c r="AS260" s="14"/>
      <c r="AT260" s="13"/>
      <c r="AU260" s="13"/>
      <c r="AV260" s="13"/>
      <c r="AW260" s="13"/>
      <c r="AX260" s="15"/>
      <c r="AY260" s="16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</row>
    <row r="261" spans="1:64" ht="15" customHeight="1">
      <c r="A261" s="224"/>
      <c r="B261" s="94"/>
      <c r="C261" s="228"/>
      <c r="D261" s="228"/>
      <c r="E261" s="228"/>
      <c r="F261" s="228"/>
      <c r="G261" s="229"/>
      <c r="H261" s="230"/>
      <c r="I261" s="230"/>
      <c r="J261" s="230"/>
      <c r="K261" s="231"/>
      <c r="L261" s="232"/>
      <c r="M261" s="232"/>
      <c r="N261" s="228"/>
      <c r="O261" s="233"/>
      <c r="P261" s="233"/>
      <c r="Q261" s="233"/>
      <c r="R261" s="234"/>
      <c r="S261" s="234"/>
      <c r="T261" s="235"/>
      <c r="U261" s="235"/>
      <c r="V261" s="235"/>
      <c r="W261" s="85"/>
      <c r="X261" s="85"/>
      <c r="Y261" s="85"/>
      <c r="Z261" s="85"/>
      <c r="AA261" s="85"/>
      <c r="AB261" s="85"/>
      <c r="AD261" s="11"/>
      <c r="AE261" s="12"/>
      <c r="AF261" s="13"/>
      <c r="AG261" s="13"/>
      <c r="AS261" s="14"/>
      <c r="AT261" s="13"/>
      <c r="AU261" s="13"/>
      <c r="AV261" s="13"/>
      <c r="AW261" s="13"/>
      <c r="AX261" s="15"/>
      <c r="AY261" s="16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</row>
    <row r="262" spans="1:64" ht="15" customHeight="1">
      <c r="A262" s="224"/>
      <c r="B262" s="94"/>
      <c r="C262" s="228"/>
      <c r="D262" s="228"/>
      <c r="E262" s="228"/>
      <c r="F262" s="228"/>
      <c r="G262" s="229"/>
      <c r="H262" s="230"/>
      <c r="I262" s="230"/>
      <c r="J262" s="230"/>
      <c r="K262" s="231"/>
      <c r="L262" s="232"/>
      <c r="M262" s="232"/>
      <c r="N262" s="228"/>
      <c r="O262" s="233"/>
      <c r="P262" s="233"/>
      <c r="Q262" s="233"/>
      <c r="R262" s="234"/>
      <c r="S262" s="234"/>
      <c r="T262" s="235"/>
      <c r="U262" s="235"/>
      <c r="V262" s="235"/>
      <c r="W262" s="85"/>
      <c r="X262" s="85"/>
      <c r="Y262" s="85"/>
      <c r="Z262" s="85"/>
      <c r="AA262" s="85"/>
      <c r="AB262" s="85"/>
      <c r="AD262" s="11"/>
      <c r="AE262" s="12"/>
      <c r="AF262" s="13"/>
      <c r="AG262" s="13"/>
      <c r="AS262" s="14"/>
      <c r="AT262" s="13"/>
      <c r="AU262" s="13"/>
      <c r="AV262" s="13"/>
      <c r="AW262" s="13"/>
      <c r="AX262" s="15"/>
      <c r="AY262" s="16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</row>
    <row r="263" spans="1:64" ht="15" customHeight="1">
      <c r="A263" s="224"/>
      <c r="B263" s="94"/>
      <c r="C263" s="228"/>
      <c r="D263" s="228"/>
      <c r="E263" s="228"/>
      <c r="F263" s="228"/>
      <c r="G263" s="229"/>
      <c r="H263" s="230"/>
      <c r="I263" s="230"/>
      <c r="J263" s="230"/>
      <c r="K263" s="231"/>
      <c r="L263" s="232"/>
      <c r="M263" s="232"/>
      <c r="N263" s="228"/>
      <c r="O263" s="233"/>
      <c r="P263" s="233"/>
      <c r="Q263" s="233"/>
      <c r="R263" s="234"/>
      <c r="S263" s="234"/>
      <c r="T263" s="235"/>
      <c r="U263" s="235"/>
      <c r="V263" s="235"/>
      <c r="W263" s="85"/>
      <c r="X263" s="85"/>
      <c r="Y263" s="85"/>
      <c r="Z263" s="85"/>
      <c r="AA263" s="85"/>
      <c r="AB263" s="85"/>
      <c r="AD263" s="11"/>
      <c r="AE263" s="12"/>
      <c r="AF263" s="13"/>
      <c r="AG263" s="13"/>
      <c r="AS263" s="14"/>
      <c r="AT263" s="13"/>
      <c r="AU263" s="13"/>
      <c r="AV263" s="13"/>
      <c r="AW263" s="13"/>
      <c r="AX263" s="15"/>
      <c r="AY263" s="16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</row>
    <row r="264" spans="1:64" ht="15" customHeight="1">
      <c r="A264" s="224"/>
      <c r="B264" s="245" t="s">
        <v>261</v>
      </c>
      <c r="C264" s="228"/>
      <c r="D264" s="228"/>
      <c r="E264" s="228"/>
      <c r="F264" s="228"/>
      <c r="G264" s="229"/>
      <c r="H264" s="230"/>
      <c r="I264" s="230"/>
      <c r="J264" s="230"/>
      <c r="K264" s="231"/>
      <c r="L264" s="232"/>
      <c r="M264" s="232"/>
      <c r="N264" s="228"/>
      <c r="O264" s="233"/>
      <c r="P264" s="233"/>
      <c r="Q264" s="233"/>
      <c r="R264" s="234"/>
      <c r="S264" s="234"/>
      <c r="T264" s="235"/>
      <c r="U264" s="235"/>
      <c r="V264" s="235"/>
      <c r="W264" s="85"/>
      <c r="X264" s="85"/>
      <c r="Y264" s="85"/>
      <c r="Z264" s="85"/>
      <c r="AA264" s="85"/>
      <c r="AD264" s="11"/>
      <c r="AE264" s="12"/>
      <c r="AF264" s="13"/>
      <c r="AG264" s="13"/>
      <c r="AS264" s="14"/>
      <c r="AT264" s="13"/>
      <c r="AU264" s="13"/>
      <c r="AV264" s="13"/>
      <c r="AW264" s="13"/>
      <c r="AX264" s="15"/>
      <c r="AY264" s="16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</row>
    <row r="265" spans="1:64" ht="15" customHeight="1">
      <c r="A265" s="224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D265" s="11"/>
      <c r="AE265" s="12"/>
      <c r="AF265" s="13"/>
      <c r="AG265" s="13"/>
      <c r="AS265" s="14"/>
      <c r="AT265" s="13"/>
      <c r="AU265" s="13"/>
      <c r="AV265" s="13"/>
      <c r="AW265" s="13"/>
      <c r="AX265" s="15"/>
      <c r="AY265" s="16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</row>
    <row r="266" spans="1:64" ht="15" customHeight="1">
      <c r="A266" s="246"/>
      <c r="B266" s="132"/>
      <c r="C266" s="132" t="s">
        <v>262</v>
      </c>
      <c r="D266" s="132"/>
      <c r="E266" s="132"/>
      <c r="F266" s="132"/>
      <c r="G266" s="132"/>
      <c r="H266" s="132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85"/>
      <c r="AA266" s="85"/>
      <c r="AD266" s="11"/>
      <c r="AE266" s="12"/>
      <c r="AF266" s="13"/>
      <c r="AG266" s="13"/>
      <c r="AS266" s="14"/>
      <c r="AT266" s="13"/>
      <c r="AU266" s="13"/>
      <c r="AV266" s="13"/>
      <c r="AW266" s="13"/>
      <c r="AX266" s="15"/>
      <c r="AY266" s="16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</row>
    <row r="267" spans="1:64" ht="15" customHeight="1">
      <c r="A267" s="246"/>
      <c r="B267" s="132"/>
      <c r="C267" s="132"/>
      <c r="D267" s="132"/>
      <c r="E267" s="132"/>
      <c r="F267" s="132"/>
      <c r="G267" s="132"/>
      <c r="H267" s="132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85"/>
      <c r="AA267" s="85"/>
      <c r="AD267" s="11"/>
      <c r="AE267" s="12"/>
      <c r="AF267" s="13"/>
      <c r="AG267" s="13"/>
      <c r="AS267" s="14"/>
      <c r="AT267" s="13"/>
      <c r="AU267" s="13"/>
      <c r="AV267" s="13"/>
      <c r="AW267" s="13"/>
      <c r="AX267" s="15"/>
      <c r="AY267" s="16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</row>
    <row r="268" spans="1:64" ht="15" customHeight="1">
      <c r="A268" s="130"/>
      <c r="B268" s="85"/>
      <c r="C268" s="77"/>
      <c r="D268" s="213" t="s">
        <v>263</v>
      </c>
      <c r="E268" s="213"/>
      <c r="F268" s="213"/>
      <c r="G268" s="213"/>
      <c r="H268" s="213"/>
      <c r="I268" s="213"/>
      <c r="J268" s="213"/>
      <c r="K268" s="213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85"/>
      <c r="AA268" s="85"/>
      <c r="AD268" s="11"/>
      <c r="AE268" s="12"/>
      <c r="AF268" s="13"/>
      <c r="AG268" s="13"/>
      <c r="AS268" s="14"/>
      <c r="AT268" s="13"/>
      <c r="AU268" s="13"/>
      <c r="AV268" s="13"/>
      <c r="AW268" s="13"/>
      <c r="AX268" s="15"/>
      <c r="AY268" s="16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</row>
    <row r="269" spans="1:64" ht="15" customHeight="1">
      <c r="A269" s="130"/>
      <c r="B269" s="85"/>
      <c r="C269" s="77"/>
      <c r="D269" s="213"/>
      <c r="E269" s="213"/>
      <c r="F269" s="213"/>
      <c r="G269" s="213"/>
      <c r="H269" s="213"/>
      <c r="I269" s="213"/>
      <c r="J269" s="213"/>
      <c r="K269" s="213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85"/>
      <c r="AA269" s="85"/>
      <c r="AD269" s="11"/>
      <c r="AE269" s="12"/>
      <c r="AF269" s="13"/>
      <c r="AG269" s="13"/>
      <c r="AS269" s="14"/>
      <c r="AT269" s="13"/>
      <c r="AU269" s="13"/>
      <c r="AV269" s="13"/>
      <c r="AW269" s="13"/>
      <c r="AX269" s="15"/>
      <c r="AY269" s="16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</row>
    <row r="270" spans="1:64" ht="15" customHeight="1">
      <c r="A270" s="130"/>
      <c r="B270" s="130"/>
      <c r="C270" s="213"/>
      <c r="D270" s="213" t="s">
        <v>264</v>
      </c>
      <c r="E270" s="213"/>
      <c r="F270" s="213" t="s">
        <v>265</v>
      </c>
      <c r="G270" s="213"/>
      <c r="H270" s="213"/>
      <c r="I270" s="213"/>
      <c r="J270" s="213"/>
      <c r="K270" s="213"/>
      <c r="L270" s="247"/>
      <c r="M270" s="247"/>
      <c r="N270" s="247"/>
      <c r="O270" s="247"/>
      <c r="P270" s="247"/>
      <c r="Q270" s="247"/>
      <c r="R270" s="130"/>
      <c r="S270" s="130"/>
      <c r="T270" s="130"/>
      <c r="U270" s="130"/>
      <c r="V270" s="130"/>
      <c r="W270" s="130"/>
      <c r="X270" s="130"/>
      <c r="Y270" s="130"/>
      <c r="Z270" s="85"/>
      <c r="AA270" s="85"/>
      <c r="AD270" s="11"/>
      <c r="AE270" s="12"/>
      <c r="AF270" s="13"/>
      <c r="AG270" s="13"/>
      <c r="AS270" s="14"/>
      <c r="AT270" s="13"/>
      <c r="AU270" s="13"/>
      <c r="AV270" s="13"/>
      <c r="AW270" s="13"/>
      <c r="AX270" s="15"/>
      <c r="AY270" s="16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</row>
    <row r="271" spans="1:64" ht="15" customHeight="1">
      <c r="A271" s="130"/>
      <c r="B271" s="130"/>
      <c r="C271" s="213"/>
      <c r="D271" s="213"/>
      <c r="E271" s="213"/>
      <c r="F271" s="213"/>
      <c r="G271" s="213"/>
      <c r="H271" s="213"/>
      <c r="I271" s="213"/>
      <c r="J271" s="213"/>
      <c r="K271" s="213"/>
      <c r="L271" s="247"/>
      <c r="M271" s="247"/>
      <c r="N271" s="247"/>
      <c r="O271" s="247"/>
      <c r="P271" s="247"/>
      <c r="Q271" s="247"/>
      <c r="R271" s="130"/>
      <c r="S271" s="130"/>
      <c r="T271" s="130"/>
      <c r="U271" s="130"/>
      <c r="V271" s="130"/>
      <c r="W271" s="130"/>
      <c r="X271" s="130"/>
      <c r="Y271" s="130"/>
      <c r="Z271" s="85"/>
      <c r="AA271" s="85"/>
      <c r="AD271" s="11"/>
      <c r="AE271" s="12"/>
      <c r="AF271" s="13"/>
      <c r="AG271" s="13"/>
      <c r="AS271" s="14"/>
      <c r="AT271" s="13"/>
      <c r="AU271" s="13"/>
      <c r="AV271" s="13"/>
      <c r="AW271" s="13"/>
      <c r="AX271" s="15"/>
      <c r="AY271" s="16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</row>
    <row r="272" spans="1:64" ht="15" customHeight="1">
      <c r="A272" s="130"/>
      <c r="B272" s="130"/>
      <c r="C272" s="77"/>
      <c r="D272" s="248" t="s">
        <v>266</v>
      </c>
      <c r="E272" s="249" t="s">
        <v>267</v>
      </c>
      <c r="F272" s="249"/>
      <c r="G272" s="249"/>
      <c r="H272" s="249"/>
      <c r="I272" s="249"/>
      <c r="J272" s="249"/>
      <c r="K272" s="249"/>
      <c r="L272" s="250"/>
      <c r="M272" s="250"/>
      <c r="N272" s="250"/>
      <c r="O272" s="250"/>
      <c r="P272" s="250"/>
      <c r="Q272" s="250"/>
      <c r="R272" s="132"/>
      <c r="S272" s="132"/>
      <c r="T272" s="132"/>
      <c r="U272" s="132"/>
      <c r="V272" s="132"/>
      <c r="W272" s="132"/>
      <c r="X272" s="132"/>
      <c r="Y272" s="132"/>
      <c r="Z272" s="85"/>
      <c r="AA272" s="85"/>
      <c r="AD272" s="11"/>
      <c r="AE272" s="12"/>
      <c r="AF272" s="13"/>
      <c r="AG272" s="13"/>
      <c r="AS272" s="14"/>
      <c r="AT272" s="13"/>
      <c r="AU272" s="13"/>
      <c r="AV272" s="13"/>
      <c r="AW272" s="13"/>
      <c r="AX272" s="15"/>
      <c r="AY272" s="16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</row>
    <row r="273" spans="1:64" ht="15" customHeight="1">
      <c r="A273" s="130"/>
      <c r="B273" s="130"/>
      <c r="C273" s="77"/>
      <c r="D273" s="77"/>
      <c r="E273" s="249"/>
      <c r="F273" s="249"/>
      <c r="G273" s="249"/>
      <c r="H273" s="249"/>
      <c r="I273" s="249"/>
      <c r="J273" s="249"/>
      <c r="K273" s="249"/>
      <c r="L273" s="250"/>
      <c r="M273" s="250"/>
      <c r="N273" s="250"/>
      <c r="O273" s="250"/>
      <c r="P273" s="250"/>
      <c r="Q273" s="250"/>
      <c r="R273" s="132"/>
      <c r="S273" s="132"/>
      <c r="T273" s="132"/>
      <c r="U273" s="132"/>
      <c r="V273" s="132"/>
      <c r="W273" s="132"/>
      <c r="X273" s="132"/>
      <c r="Y273" s="132"/>
      <c r="Z273" s="85"/>
      <c r="AA273" s="85"/>
      <c r="AD273" s="11"/>
      <c r="AE273" s="12"/>
      <c r="AF273" s="13"/>
      <c r="AG273" s="13"/>
      <c r="AS273" s="14"/>
      <c r="AT273" s="13"/>
      <c r="AU273" s="13"/>
      <c r="AV273" s="13"/>
      <c r="AW273" s="13"/>
      <c r="AX273" s="15"/>
      <c r="AY273" s="16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</row>
    <row r="274" spans="1:64" ht="15" customHeight="1">
      <c r="A274" s="130"/>
      <c r="B274" s="130"/>
      <c r="C274" s="77"/>
      <c r="D274" s="213" t="s">
        <v>268</v>
      </c>
      <c r="E274" s="249"/>
      <c r="F274" s="213" t="s">
        <v>269</v>
      </c>
      <c r="G274" s="249"/>
      <c r="H274" s="249"/>
      <c r="I274" s="249"/>
      <c r="J274" s="249"/>
      <c r="K274" s="249"/>
      <c r="L274" s="132"/>
      <c r="M274" s="132"/>
      <c r="N274" s="132"/>
      <c r="O274" s="251" t="s">
        <v>270</v>
      </c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85"/>
      <c r="AA274" s="85"/>
      <c r="AD274" s="11"/>
      <c r="AE274" s="12"/>
      <c r="AF274" s="13"/>
      <c r="AG274" s="13"/>
      <c r="AS274" s="14"/>
      <c r="AT274" s="13"/>
      <c r="AU274" s="13"/>
      <c r="AV274" s="13"/>
      <c r="AW274" s="13"/>
      <c r="AX274" s="15"/>
      <c r="AY274" s="16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</row>
    <row r="275" spans="1:64" ht="15" customHeight="1">
      <c r="A275" s="130"/>
      <c r="B275" s="130"/>
      <c r="C275" s="77"/>
      <c r="D275" s="213"/>
      <c r="E275" s="249"/>
      <c r="F275" s="213"/>
      <c r="G275" s="249"/>
      <c r="H275" s="249"/>
      <c r="I275" s="249"/>
      <c r="J275" s="249"/>
      <c r="K275" s="249"/>
      <c r="L275" s="132"/>
      <c r="M275" s="132"/>
      <c r="N275" s="132"/>
      <c r="O275" s="251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85"/>
      <c r="AA275" s="85"/>
      <c r="AD275" s="11"/>
      <c r="AE275" s="12"/>
      <c r="AF275" s="13"/>
      <c r="AG275" s="13"/>
      <c r="AS275" s="14"/>
      <c r="AT275" s="13"/>
      <c r="AU275" s="13"/>
      <c r="AV275" s="13"/>
      <c r="AW275" s="13"/>
      <c r="AX275" s="15"/>
      <c r="AY275" s="16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</row>
    <row r="276" spans="1:64" ht="15" customHeight="1">
      <c r="A276" s="130"/>
      <c r="B276" s="130"/>
      <c r="C276" s="77"/>
      <c r="D276" s="90" t="s">
        <v>271</v>
      </c>
      <c r="E276" s="85" t="s">
        <v>272</v>
      </c>
      <c r="F276" s="85"/>
      <c r="G276" s="249"/>
      <c r="H276" s="249"/>
      <c r="I276" s="249"/>
      <c r="J276" s="249"/>
      <c r="K276" s="249"/>
      <c r="L276" s="132"/>
      <c r="M276" s="132"/>
      <c r="N276" s="132"/>
      <c r="O276" s="132" t="s">
        <v>273</v>
      </c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85"/>
      <c r="AA276" s="85"/>
      <c r="AD276" s="11"/>
      <c r="AE276" s="12"/>
      <c r="AF276" s="13"/>
      <c r="AG276" s="13"/>
      <c r="AS276" s="14"/>
      <c r="AT276" s="13"/>
      <c r="AU276" s="13"/>
      <c r="AV276" s="13"/>
      <c r="AW276" s="13"/>
      <c r="AX276" s="15"/>
      <c r="AY276" s="16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</row>
    <row r="277" spans="1:64" ht="15" customHeight="1">
      <c r="A277" s="130"/>
      <c r="B277" s="130"/>
      <c r="C277" s="77"/>
      <c r="D277" s="90"/>
      <c r="E277" s="85"/>
      <c r="F277" s="85"/>
      <c r="G277" s="249"/>
      <c r="H277" s="249"/>
      <c r="I277" s="249"/>
      <c r="J277" s="249"/>
      <c r="K277" s="249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85"/>
      <c r="AA277" s="85"/>
      <c r="AD277" s="11"/>
      <c r="AE277" s="12"/>
      <c r="AF277" s="13"/>
      <c r="AG277" s="13"/>
      <c r="AS277" s="14"/>
      <c r="AT277" s="13"/>
      <c r="AU277" s="13"/>
      <c r="AV277" s="13"/>
      <c r="AW277" s="13"/>
      <c r="AX277" s="15"/>
      <c r="AY277" s="16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</row>
    <row r="278" spans="1:64" ht="15" customHeight="1">
      <c r="A278" s="130"/>
      <c r="B278" s="130"/>
      <c r="C278" s="77"/>
      <c r="D278" s="77" t="s">
        <v>274</v>
      </c>
      <c r="E278" s="249"/>
      <c r="F278" s="249"/>
      <c r="G278" s="249"/>
      <c r="H278" s="249"/>
      <c r="I278" s="249"/>
      <c r="J278" s="249"/>
      <c r="K278" s="249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85"/>
      <c r="AA278" s="85"/>
      <c r="AD278" s="11"/>
      <c r="AE278" s="12"/>
      <c r="AF278" s="13"/>
      <c r="AG278" s="13"/>
      <c r="AS278" s="14"/>
      <c r="AT278" s="13"/>
      <c r="AU278" s="13"/>
      <c r="AV278" s="13"/>
      <c r="AW278" s="13"/>
      <c r="AX278" s="15"/>
      <c r="AY278" s="16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</row>
    <row r="279" spans="1:64" ht="15" customHeight="1">
      <c r="A279" s="130"/>
      <c r="B279" s="130"/>
      <c r="C279" s="77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85"/>
      <c r="AA279" s="85"/>
      <c r="AD279" s="11"/>
      <c r="AE279" s="12"/>
      <c r="AF279" s="13"/>
      <c r="AG279" s="13"/>
      <c r="AS279" s="14"/>
      <c r="AT279" s="13"/>
      <c r="AU279" s="13"/>
      <c r="AV279" s="13"/>
      <c r="AW279" s="13"/>
      <c r="AX279" s="15"/>
      <c r="AY279" s="16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</row>
    <row r="280" spans="1:64" ht="15" customHeight="1">
      <c r="A280" s="130"/>
      <c r="B280" s="130"/>
      <c r="C280" s="77"/>
      <c r="D280" s="85"/>
      <c r="E280" s="77" t="s">
        <v>275</v>
      </c>
      <c r="F280" s="249"/>
      <c r="G280" s="249"/>
      <c r="H280" s="249"/>
      <c r="I280" s="249"/>
      <c r="J280" s="249"/>
      <c r="K280" s="249"/>
      <c r="L280" s="249"/>
      <c r="M280" s="77" t="s">
        <v>276</v>
      </c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85"/>
      <c r="AA280" s="85"/>
      <c r="AD280" s="11"/>
      <c r="AE280" s="12"/>
      <c r="AF280" s="13"/>
      <c r="AG280" s="13"/>
      <c r="AS280" s="14"/>
      <c r="AT280" s="13"/>
      <c r="AU280" s="13"/>
      <c r="AV280" s="13"/>
      <c r="AW280" s="13"/>
      <c r="AX280" s="15"/>
      <c r="AY280" s="16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</row>
    <row r="281" spans="1:64" ht="15" customHeight="1">
      <c r="A281" s="130"/>
      <c r="B281" s="130"/>
      <c r="C281" s="77"/>
      <c r="D281" s="77"/>
      <c r="E281" s="249"/>
      <c r="F281" s="249"/>
      <c r="G281" s="249"/>
      <c r="H281" s="249"/>
      <c r="I281" s="249"/>
      <c r="J281" s="249"/>
      <c r="K281" s="249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85"/>
      <c r="AA281" s="85"/>
      <c r="AD281" s="11"/>
      <c r="AE281" s="12"/>
      <c r="AF281" s="13"/>
      <c r="AG281" s="13"/>
      <c r="AS281" s="14"/>
      <c r="AT281" s="13"/>
      <c r="AU281" s="13"/>
      <c r="AV281" s="13"/>
      <c r="AW281" s="13"/>
      <c r="AX281" s="15"/>
      <c r="AY281" s="16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</row>
    <row r="282" spans="1:64" ht="15" customHeight="1">
      <c r="A282" s="130"/>
      <c r="B282" s="130"/>
      <c r="C282" s="85"/>
      <c r="D282" s="85" t="s">
        <v>277</v>
      </c>
      <c r="E282" s="213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85"/>
      <c r="AA282" s="85"/>
      <c r="AD282" s="11"/>
      <c r="AE282" s="12"/>
      <c r="AF282" s="13"/>
      <c r="AG282" s="13"/>
      <c r="AS282" s="14"/>
      <c r="AT282" s="13"/>
      <c r="AU282" s="13"/>
      <c r="AV282" s="13"/>
      <c r="AW282" s="13"/>
      <c r="AX282" s="15"/>
      <c r="AY282" s="16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</row>
    <row r="283" spans="1:64" ht="17.25" customHeight="1">
      <c r="A283" s="130"/>
      <c r="B283" s="130"/>
      <c r="C283" s="85"/>
      <c r="D283" s="85"/>
      <c r="E283" s="213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85"/>
      <c r="AA283" s="85"/>
      <c r="AD283" s="11"/>
      <c r="AE283" s="12"/>
      <c r="AF283" s="13"/>
      <c r="AG283" s="13"/>
      <c r="AS283" s="14"/>
      <c r="AT283" s="13"/>
      <c r="AU283" s="13"/>
      <c r="AV283" s="13"/>
      <c r="AW283" s="13"/>
      <c r="AX283" s="15"/>
      <c r="AY283" s="16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</row>
    <row r="284" spans="1:64" ht="15" customHeight="1">
      <c r="A284" s="130"/>
      <c r="B284" s="130"/>
      <c r="C284" s="85"/>
      <c r="D284" s="85" t="s">
        <v>278</v>
      </c>
      <c r="E284" s="85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85"/>
      <c r="AA284" s="85"/>
      <c r="AD284" s="11"/>
      <c r="AE284" s="12"/>
      <c r="AF284" s="13"/>
      <c r="AG284" s="13"/>
      <c r="AS284" s="14"/>
      <c r="AT284" s="13"/>
      <c r="AU284" s="13"/>
      <c r="AV284" s="13"/>
      <c r="AW284" s="13"/>
      <c r="AX284" s="15"/>
      <c r="AY284" s="16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</row>
    <row r="285" spans="1:64" ht="15" customHeight="1">
      <c r="A285" s="130"/>
      <c r="B285" s="130"/>
      <c r="C285" s="85"/>
      <c r="D285" s="85"/>
      <c r="E285" s="85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85"/>
      <c r="AA285" s="85"/>
      <c r="AD285" s="11"/>
      <c r="AE285" s="12"/>
      <c r="AF285" s="13"/>
      <c r="AG285" s="13"/>
      <c r="AS285" s="14"/>
      <c r="AT285" s="13"/>
      <c r="AU285" s="13"/>
      <c r="AV285" s="13"/>
      <c r="AW285" s="13"/>
      <c r="AX285" s="15"/>
      <c r="AY285" s="16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</row>
    <row r="286" spans="1:64" ht="15" customHeight="1">
      <c r="A286" s="130"/>
      <c r="B286" s="130"/>
      <c r="C286" s="85"/>
      <c r="D286" s="85" t="s">
        <v>279</v>
      </c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85"/>
      <c r="AA286" s="85"/>
      <c r="AD286" s="11"/>
      <c r="AE286" s="12"/>
      <c r="AF286" s="13"/>
      <c r="AG286" s="13"/>
      <c r="AS286" s="14"/>
      <c r="AT286" s="13"/>
      <c r="AU286" s="13"/>
      <c r="AV286" s="13"/>
      <c r="AW286" s="13"/>
      <c r="AX286" s="15"/>
      <c r="AY286" s="16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</row>
    <row r="287" spans="1:64" ht="15" customHeight="1">
      <c r="A287" s="130"/>
      <c r="B287" s="130"/>
      <c r="C287" s="85"/>
      <c r="D287" s="85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85"/>
      <c r="AA287" s="85"/>
      <c r="AD287" s="11"/>
      <c r="AE287" s="12"/>
      <c r="AF287" s="13"/>
      <c r="AG287" s="13"/>
      <c r="AS287" s="14"/>
      <c r="AT287" s="13"/>
      <c r="AU287" s="13"/>
      <c r="AV287" s="13"/>
      <c r="AW287" s="13"/>
      <c r="AX287" s="15"/>
      <c r="AY287" s="16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</row>
    <row r="288" spans="1:64" ht="15" customHeight="1">
      <c r="A288" s="130"/>
      <c r="B288" s="130"/>
      <c r="C288" s="85"/>
      <c r="D288" s="85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85"/>
      <c r="AA288" s="85"/>
      <c r="AD288" s="11"/>
      <c r="AE288" s="12"/>
      <c r="AF288" s="13"/>
      <c r="AG288" s="13"/>
      <c r="AS288" s="14"/>
      <c r="AT288" s="13"/>
      <c r="AU288" s="13"/>
      <c r="AV288" s="13"/>
      <c r="AW288" s="13"/>
      <c r="AX288" s="15"/>
      <c r="AY288" s="16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</row>
    <row r="289" spans="1:64" ht="15" customHeight="1">
      <c r="A289" s="130"/>
      <c r="B289" s="130"/>
      <c r="C289" s="85"/>
      <c r="D289" s="85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85"/>
      <c r="AA289" s="85"/>
      <c r="AD289" s="11"/>
      <c r="AE289" s="12"/>
      <c r="AF289" s="13"/>
      <c r="AG289" s="13"/>
      <c r="AS289" s="14"/>
      <c r="AT289" s="13"/>
      <c r="AU289" s="13"/>
      <c r="AV289" s="13"/>
      <c r="AW289" s="13"/>
      <c r="AX289" s="15"/>
      <c r="AY289" s="16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</row>
    <row r="290" spans="1:64" ht="15" customHeight="1">
      <c r="A290" s="130"/>
      <c r="B290" s="130"/>
      <c r="C290" s="85"/>
      <c r="D290" s="85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85"/>
      <c r="AA290" s="85"/>
      <c r="AD290" s="11"/>
      <c r="AE290" s="12"/>
      <c r="AF290" s="13"/>
      <c r="AG290" s="13"/>
      <c r="AS290" s="14"/>
      <c r="AT290" s="13"/>
      <c r="AU290" s="13"/>
      <c r="AV290" s="13"/>
      <c r="AW290" s="13"/>
      <c r="AX290" s="15"/>
      <c r="AY290" s="16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</row>
    <row r="291" spans="1:64" ht="15" customHeight="1">
      <c r="A291" s="130"/>
      <c r="B291" s="130"/>
      <c r="C291" s="85"/>
      <c r="D291" s="85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85"/>
      <c r="AA291" s="85"/>
      <c r="AD291" s="11"/>
      <c r="AE291" s="12"/>
      <c r="AF291" s="13"/>
      <c r="AG291" s="13"/>
      <c r="AS291" s="14"/>
      <c r="AT291" s="13"/>
      <c r="AU291" s="13"/>
      <c r="AV291" s="13"/>
      <c r="AW291" s="13"/>
      <c r="AX291" s="15"/>
      <c r="AY291" s="16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</row>
    <row r="292" spans="1:64" ht="15" customHeight="1">
      <c r="A292" s="130"/>
      <c r="B292" s="130"/>
      <c r="C292" s="85"/>
      <c r="D292" s="85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85"/>
      <c r="AA292" s="85"/>
      <c r="AD292" s="11"/>
      <c r="AE292" s="12"/>
      <c r="AF292" s="13"/>
      <c r="AG292" s="13"/>
      <c r="AS292" s="14"/>
      <c r="AT292" s="13"/>
      <c r="AU292" s="13"/>
      <c r="AV292" s="13"/>
      <c r="AW292" s="13"/>
      <c r="AX292" s="15"/>
      <c r="AY292" s="16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</row>
    <row r="293" spans="1:64" ht="15" customHeight="1">
      <c r="A293" s="130"/>
      <c r="B293" s="130"/>
      <c r="C293" s="85"/>
      <c r="D293" s="85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85"/>
      <c r="AA293" s="85"/>
      <c r="AD293" s="11"/>
      <c r="AE293" s="12"/>
      <c r="AF293" s="13"/>
      <c r="AG293" s="13"/>
      <c r="AS293" s="14"/>
      <c r="AT293" s="13"/>
      <c r="AU293" s="13"/>
      <c r="AV293" s="13"/>
      <c r="AW293" s="13"/>
      <c r="AX293" s="15"/>
      <c r="AY293" s="16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</row>
    <row r="294" spans="1:64" ht="15" customHeight="1">
      <c r="A294" s="130"/>
      <c r="B294" s="130"/>
      <c r="C294" s="85"/>
      <c r="D294" s="85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85"/>
      <c r="AA294" s="85"/>
      <c r="AD294" s="11"/>
      <c r="AE294" s="12"/>
      <c r="AF294" s="13"/>
      <c r="AG294" s="13"/>
      <c r="AS294" s="14"/>
      <c r="AT294" s="13"/>
      <c r="AU294" s="13"/>
      <c r="AV294" s="13"/>
      <c r="AW294" s="13"/>
      <c r="AX294" s="15"/>
      <c r="AY294" s="16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</row>
    <row r="295" spans="1:64" ht="15" customHeight="1">
      <c r="A295" s="130"/>
      <c r="B295" s="130"/>
      <c r="C295" s="85"/>
      <c r="D295" s="85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85"/>
      <c r="AA295" s="85"/>
      <c r="AD295" s="11"/>
      <c r="AE295" s="12"/>
      <c r="AF295" s="13"/>
      <c r="AG295" s="13"/>
      <c r="AS295" s="14"/>
      <c r="AT295" s="13"/>
      <c r="AU295" s="13"/>
      <c r="AV295" s="13"/>
      <c r="AW295" s="13"/>
      <c r="AX295" s="15"/>
      <c r="AY295" s="16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</row>
    <row r="296" spans="1:64" ht="15" customHeight="1">
      <c r="A296" s="130"/>
      <c r="B296" s="130"/>
      <c r="C296" s="85"/>
      <c r="D296" s="85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85"/>
      <c r="AA296" s="85"/>
      <c r="AD296" s="11"/>
      <c r="AE296" s="12"/>
      <c r="AF296" s="13"/>
      <c r="AG296" s="13"/>
      <c r="AS296" s="14"/>
      <c r="AT296" s="13"/>
      <c r="AU296" s="13"/>
      <c r="AV296" s="13"/>
      <c r="AW296" s="13"/>
      <c r="AX296" s="15"/>
      <c r="AY296" s="16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</row>
    <row r="297" spans="1:64" ht="15" customHeight="1">
      <c r="A297" s="130"/>
      <c r="B297" s="130"/>
      <c r="C297" s="85"/>
      <c r="D297" s="85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85"/>
      <c r="AA297" s="85"/>
      <c r="AD297" s="11"/>
      <c r="AE297" s="12"/>
      <c r="AF297" s="13"/>
      <c r="AG297" s="13"/>
      <c r="AS297" s="14"/>
      <c r="AT297" s="13"/>
      <c r="AU297" s="13"/>
      <c r="AV297" s="13"/>
      <c r="AW297" s="13"/>
      <c r="AX297" s="15"/>
      <c r="AY297" s="16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</row>
    <row r="298" spans="1:64" ht="15" customHeight="1">
      <c r="A298" s="130"/>
      <c r="B298" s="130"/>
      <c r="C298" s="85"/>
      <c r="D298" s="85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85"/>
      <c r="AA298" s="85"/>
      <c r="AD298" s="11"/>
      <c r="AE298" s="12"/>
      <c r="AF298" s="13"/>
      <c r="AG298" s="13"/>
      <c r="AS298" s="14"/>
      <c r="AT298" s="13"/>
      <c r="AU298" s="13"/>
      <c r="AV298" s="13"/>
      <c r="AW298" s="13"/>
      <c r="AX298" s="15"/>
      <c r="AY298" s="16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</row>
    <row r="299" spans="1:64" ht="15" customHeight="1">
      <c r="A299" s="130"/>
      <c r="B299" s="130"/>
      <c r="C299" s="85"/>
      <c r="D299" s="85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85"/>
      <c r="AA299" s="85"/>
      <c r="AD299" s="11"/>
      <c r="AE299" s="12"/>
      <c r="AF299" s="13"/>
      <c r="AG299" s="13"/>
      <c r="AS299" s="14"/>
      <c r="AT299" s="13"/>
      <c r="AU299" s="13"/>
      <c r="AV299" s="13"/>
      <c r="AW299" s="13"/>
      <c r="AX299" s="15"/>
      <c r="AY299" s="16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</row>
    <row r="300" spans="1:64" ht="15" customHeight="1">
      <c r="A300" s="130"/>
      <c r="B300" s="130"/>
      <c r="C300" s="85"/>
      <c r="D300" s="85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85"/>
      <c r="AA300" s="85"/>
      <c r="AD300" s="11"/>
      <c r="AE300" s="12"/>
      <c r="AF300" s="13"/>
      <c r="AG300" s="13"/>
      <c r="AS300" s="14"/>
      <c r="AT300" s="13"/>
      <c r="AU300" s="13"/>
      <c r="AV300" s="13"/>
      <c r="AW300" s="13"/>
      <c r="AX300" s="15"/>
      <c r="AY300" s="16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</row>
    <row r="301" spans="1:64" ht="15" customHeight="1">
      <c r="A301" s="130"/>
      <c r="B301" s="130"/>
      <c r="C301" s="85"/>
      <c r="D301" s="85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85"/>
      <c r="AA301" s="85"/>
      <c r="AD301" s="11"/>
      <c r="AE301" s="12"/>
      <c r="AF301" s="13"/>
      <c r="AG301" s="13"/>
      <c r="AS301" s="14"/>
      <c r="AT301" s="13"/>
      <c r="AU301" s="13"/>
      <c r="AV301" s="13"/>
      <c r="AW301" s="13"/>
      <c r="AX301" s="15"/>
      <c r="AY301" s="16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</row>
    <row r="302" spans="1:64" ht="12" customHeight="1">
      <c r="A302" s="130"/>
      <c r="B302" s="130"/>
      <c r="C302" s="85"/>
      <c r="D302" s="85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85"/>
      <c r="AA302" s="85"/>
      <c r="AD302" s="11"/>
      <c r="AE302" s="12"/>
      <c r="AF302" s="13"/>
      <c r="AG302" s="13"/>
      <c r="AS302" s="14"/>
      <c r="AT302" s="13"/>
      <c r="AU302" s="13"/>
      <c r="AV302" s="13"/>
      <c r="AW302" s="13"/>
      <c r="AX302" s="15"/>
      <c r="AY302" s="16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</row>
    <row r="303" spans="1:64" ht="15" customHeight="1">
      <c r="A303" s="136"/>
      <c r="B303" s="136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AD303" s="11"/>
      <c r="AE303" s="12"/>
      <c r="AF303" s="13"/>
      <c r="AG303" s="13"/>
      <c r="AS303" s="14"/>
      <c r="AT303" s="13"/>
      <c r="AU303" s="13"/>
      <c r="AV303" s="13"/>
      <c r="AW303" s="13"/>
      <c r="AX303" s="15"/>
      <c r="AY303" s="16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</row>
    <row r="304" spans="1:64" ht="15" customHeight="1">
      <c r="A304" s="136"/>
      <c r="B304" s="136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AD304" s="11"/>
      <c r="AE304" s="12"/>
      <c r="AF304" s="13"/>
      <c r="AG304" s="13"/>
      <c r="AS304" s="14"/>
      <c r="AT304" s="13"/>
      <c r="AU304" s="13"/>
      <c r="AV304" s="13"/>
      <c r="AW304" s="13"/>
      <c r="AX304" s="15"/>
      <c r="AY304" s="16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</row>
    <row r="305" spans="1:64" ht="15" customHeight="1">
      <c r="A305" s="136"/>
      <c r="B305" s="136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AD305" s="11"/>
      <c r="AE305" s="12"/>
      <c r="AF305" s="13"/>
      <c r="AG305" s="13"/>
      <c r="AS305" s="14"/>
      <c r="AT305" s="13"/>
      <c r="AU305" s="13"/>
      <c r="AV305" s="13"/>
      <c r="AW305" s="13"/>
      <c r="AX305" s="15"/>
      <c r="AY305" s="16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</row>
    <row r="306" spans="1:64" ht="15" customHeight="1">
      <c r="A306" s="136"/>
      <c r="B306" s="136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AD306" s="11"/>
      <c r="AE306" s="12"/>
      <c r="AF306" s="13"/>
      <c r="AG306" s="13"/>
      <c r="AS306" s="14"/>
      <c r="AT306" s="13"/>
      <c r="AU306" s="13"/>
      <c r="AV306" s="13"/>
      <c r="AW306" s="13"/>
      <c r="AX306" s="15"/>
      <c r="AY306" s="16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</row>
    <row r="307" spans="1:64" ht="15" customHeight="1">
      <c r="A307" s="136"/>
      <c r="B307" s="136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AD307" s="11"/>
      <c r="AE307" s="12"/>
      <c r="AF307" s="13"/>
      <c r="AG307" s="13"/>
      <c r="AS307" s="14"/>
      <c r="AT307" s="13"/>
      <c r="AU307" s="13"/>
      <c r="AV307" s="13"/>
      <c r="AW307" s="13"/>
      <c r="AX307" s="15"/>
      <c r="AY307" s="16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</row>
    <row r="308" spans="1:64" ht="15" customHeight="1">
      <c r="A308" s="136"/>
      <c r="B308" s="136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AD308" s="11"/>
      <c r="AE308" s="12"/>
      <c r="AF308" s="13"/>
      <c r="AG308" s="13"/>
      <c r="AS308" s="14"/>
      <c r="AT308" s="13"/>
      <c r="AU308" s="13"/>
      <c r="AV308" s="13"/>
      <c r="AW308" s="13"/>
      <c r="AX308" s="15"/>
      <c r="AY308" s="16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</row>
    <row r="309" spans="1:64" ht="15" customHeight="1">
      <c r="A309" s="136"/>
      <c r="B309" s="136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AD309" s="11"/>
      <c r="AE309" s="12"/>
      <c r="AF309" s="13"/>
      <c r="AG309" s="13"/>
      <c r="AS309" s="14"/>
      <c r="AT309" s="13"/>
      <c r="AU309" s="13"/>
      <c r="AV309" s="13"/>
      <c r="AW309" s="13"/>
      <c r="AX309" s="15"/>
      <c r="AY309" s="16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</row>
    <row r="310" spans="1:64" ht="15" customHeight="1">
      <c r="A310" s="136"/>
      <c r="B310" s="136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AD310" s="11"/>
      <c r="AE310" s="12"/>
      <c r="AF310" s="13"/>
      <c r="AG310" s="13"/>
      <c r="AS310" s="14"/>
      <c r="AT310" s="13"/>
      <c r="AU310" s="13"/>
      <c r="AV310" s="13"/>
      <c r="AW310" s="13"/>
      <c r="AX310" s="15"/>
      <c r="AY310" s="16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</row>
    <row r="311" spans="1:64" ht="15" customHeight="1">
      <c r="A311" s="136"/>
      <c r="B311" s="136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AD311" s="11"/>
      <c r="AE311" s="12"/>
      <c r="AF311" s="13"/>
      <c r="AG311" s="13"/>
      <c r="AS311" s="14"/>
      <c r="AT311" s="13"/>
      <c r="AU311" s="13"/>
      <c r="AV311" s="13"/>
      <c r="AW311" s="13"/>
      <c r="AX311" s="15"/>
      <c r="AY311" s="16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</row>
    <row r="312" spans="1:64" ht="15" customHeight="1">
      <c r="A312" s="136"/>
      <c r="B312" s="136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AD312" s="11"/>
      <c r="AE312" s="12"/>
      <c r="AF312" s="13"/>
      <c r="AG312" s="13"/>
      <c r="AS312" s="14"/>
      <c r="AT312" s="13"/>
      <c r="AU312" s="13"/>
      <c r="AV312" s="13"/>
      <c r="AW312" s="13"/>
      <c r="AX312" s="15"/>
      <c r="AY312" s="16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</row>
    <row r="313" spans="1:64" ht="15" customHeight="1">
      <c r="A313" s="136"/>
      <c r="B313" s="136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AD313" s="11"/>
      <c r="AE313" s="12"/>
      <c r="AF313" s="13"/>
      <c r="AG313" s="13"/>
      <c r="AS313" s="14"/>
      <c r="AT313" s="13"/>
      <c r="AU313" s="13"/>
      <c r="AV313" s="13"/>
      <c r="AW313" s="13"/>
      <c r="AX313" s="15"/>
      <c r="AY313" s="16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</row>
    <row r="314" spans="1:64" ht="15" customHeight="1">
      <c r="A314" s="136"/>
      <c r="B314" s="136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AD314" s="11"/>
      <c r="AE314" s="12"/>
      <c r="AF314" s="13"/>
      <c r="AG314" s="13"/>
      <c r="AS314" s="14"/>
      <c r="AT314" s="13"/>
      <c r="AU314" s="13"/>
      <c r="AV314" s="13"/>
      <c r="AW314" s="13"/>
      <c r="AX314" s="15"/>
      <c r="AY314" s="16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</row>
    <row r="315" spans="1:64" ht="15" customHeight="1">
      <c r="A315" s="136"/>
      <c r="B315" s="136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AD315" s="11"/>
      <c r="AE315" s="12"/>
      <c r="AF315" s="13"/>
      <c r="AG315" s="13"/>
      <c r="AS315" s="14"/>
      <c r="AT315" s="13"/>
      <c r="AU315" s="13"/>
      <c r="AV315" s="13"/>
      <c r="AW315" s="13"/>
      <c r="AX315" s="15"/>
      <c r="AY315" s="16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</row>
    <row r="316" spans="1:64" ht="15" customHeight="1">
      <c r="A316" s="136"/>
      <c r="B316" s="136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AD316" s="11"/>
      <c r="AE316" s="12"/>
      <c r="AF316" s="13"/>
      <c r="AG316" s="13"/>
      <c r="AS316" s="14"/>
      <c r="AT316" s="13"/>
      <c r="AU316" s="13"/>
      <c r="AV316" s="13"/>
      <c r="AW316" s="13"/>
      <c r="AX316" s="15"/>
      <c r="AY316" s="16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</row>
    <row r="317" spans="1:64" ht="15" customHeight="1">
      <c r="A317" s="136"/>
      <c r="B317" s="136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AD317" s="243" t="s">
        <v>280</v>
      </c>
      <c r="AE317" s="253" t="s">
        <v>281</v>
      </c>
      <c r="AF317" s="254"/>
      <c r="AG317" s="13"/>
      <c r="AS317" s="14"/>
      <c r="AT317" s="13"/>
      <c r="AU317" s="13"/>
      <c r="AV317" s="13"/>
      <c r="AW317" s="13"/>
      <c r="AX317" s="15"/>
      <c r="AY317" s="16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</row>
    <row r="318" spans="1:64" ht="15" customHeight="1">
      <c r="A318" s="136"/>
      <c r="B318" s="255" t="s">
        <v>282</v>
      </c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AD318" s="11"/>
      <c r="AE318" s="12"/>
      <c r="AF318" s="13"/>
      <c r="AG318" s="13"/>
      <c r="AS318" s="14" t="s">
        <v>11</v>
      </c>
      <c r="AT318" s="13"/>
      <c r="AU318" s="13"/>
      <c r="AV318" s="13"/>
      <c r="AW318" s="13"/>
      <c r="AX318" s="15"/>
      <c r="AY318" s="16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</row>
    <row r="319" spans="1:64" ht="15.75" customHeight="1">
      <c r="A319" s="136"/>
      <c r="B319" s="256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AD319" s="958" t="s">
        <v>19</v>
      </c>
      <c r="AE319" s="959"/>
      <c r="AF319" s="960"/>
      <c r="AG319" s="1365" t="s">
        <v>20</v>
      </c>
      <c r="AH319" s="1366"/>
      <c r="AI319" s="18" t="s">
        <v>21</v>
      </c>
      <c r="AJ319" s="18" t="s">
        <v>283</v>
      </c>
      <c r="AK319" s="928" t="s">
        <v>22</v>
      </c>
      <c r="AL319" s="18" t="s">
        <v>23</v>
      </c>
      <c r="AM319" s="1337" t="s">
        <v>24</v>
      </c>
      <c r="AN319" s="18" t="s">
        <v>23</v>
      </c>
      <c r="AO319" s="1337" t="s">
        <v>24</v>
      </c>
      <c r="AP319" s="11"/>
      <c r="AQ319" s="968" t="s">
        <v>25</v>
      </c>
      <c r="AR319" s="19"/>
      <c r="AS319" s="968" t="s">
        <v>26</v>
      </c>
      <c r="AT319" s="968"/>
      <c r="AU319" s="968" t="s">
        <v>27</v>
      </c>
      <c r="AV319" s="968"/>
      <c r="AW319" s="13"/>
      <c r="AX319" s="20"/>
      <c r="AY319" s="20"/>
      <c r="AZ319" s="20"/>
      <c r="BA319" s="20"/>
      <c r="BB319" s="20"/>
      <c r="BC319" s="21"/>
      <c r="BD319" s="21"/>
      <c r="BE319" s="21"/>
      <c r="BF319" s="21"/>
      <c r="BG319" s="21"/>
      <c r="BH319" s="20"/>
      <c r="BI319" s="20"/>
      <c r="BJ319" s="20"/>
      <c r="BK319" s="20"/>
      <c r="BL319" s="20"/>
    </row>
    <row r="320" spans="1:64" ht="27" customHeight="1" thickBot="1">
      <c r="A320" s="136"/>
      <c r="B320" s="1654" t="s">
        <v>284</v>
      </c>
      <c r="C320" s="1517"/>
      <c r="D320" s="1655" t="s">
        <v>285</v>
      </c>
      <c r="E320" s="1656"/>
      <c r="F320" s="1656"/>
      <c r="G320" s="1657"/>
      <c r="H320" s="1084" t="s">
        <v>232</v>
      </c>
      <c r="I320" s="1084"/>
      <c r="J320" s="1084"/>
      <c r="K320" s="1084" t="s">
        <v>233</v>
      </c>
      <c r="L320" s="1084"/>
      <c r="M320" s="1084"/>
      <c r="N320" s="1084" t="s">
        <v>286</v>
      </c>
      <c r="O320" s="1084"/>
      <c r="P320" s="1084"/>
      <c r="Q320" s="1084" t="s">
        <v>287</v>
      </c>
      <c r="R320" s="1084"/>
      <c r="S320" s="1084"/>
      <c r="T320" s="1311" t="s">
        <v>288</v>
      </c>
      <c r="U320" s="1312"/>
      <c r="V320" s="1313"/>
      <c r="W320" s="1311" t="s">
        <v>289</v>
      </c>
      <c r="X320" s="1312"/>
      <c r="Y320" s="1312"/>
      <c r="AD320" s="1645"/>
      <c r="AE320" s="1646"/>
      <c r="AF320" s="1647"/>
      <c r="AG320" s="1648"/>
      <c r="AH320" s="1649"/>
      <c r="AI320" s="22" t="s">
        <v>30</v>
      </c>
      <c r="AJ320" s="22" t="s">
        <v>30</v>
      </c>
      <c r="AK320" s="1650"/>
      <c r="AL320" s="22" t="s">
        <v>31</v>
      </c>
      <c r="AM320" s="1651"/>
      <c r="AN320" s="22" t="s">
        <v>32</v>
      </c>
      <c r="AO320" s="1651"/>
      <c r="AP320" s="11"/>
      <c r="AQ320" s="968"/>
      <c r="AR320" s="19"/>
      <c r="AS320" s="968"/>
      <c r="AT320" s="968"/>
      <c r="AU320" s="968"/>
      <c r="AV320" s="968"/>
      <c r="AW320" s="13"/>
      <c r="AX320" s="20"/>
      <c r="AY320" s="20"/>
      <c r="AZ320" s="20"/>
      <c r="BA320" s="20"/>
      <c r="BB320" s="20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</row>
    <row r="321" spans="1:64" ht="27" customHeight="1" thickTop="1">
      <c r="A321" s="136"/>
      <c r="B321" s="1237">
        <f>$G$5</f>
        <v>8.4</v>
      </c>
      <c r="C321" s="1238"/>
      <c r="D321" s="1251">
        <f>$K$5</f>
        <v>8.8000000000000007</v>
      </c>
      <c r="E321" s="1252"/>
      <c r="F321" s="1252"/>
      <c r="G321" s="1253"/>
      <c r="H321" s="1332">
        <f>+$O$5</f>
        <v>5.0999999999999996</v>
      </c>
      <c r="I321" s="1332"/>
      <c r="J321" s="1332"/>
      <c r="K321" s="1332">
        <f>+S5</f>
        <v>150</v>
      </c>
      <c r="L321" s="1332"/>
      <c r="M321" s="1332"/>
      <c r="N321" s="1419"/>
      <c r="O321" s="1332"/>
      <c r="P321" s="1332"/>
      <c r="Q321" s="1332">
        <f>ROUND(+H321*AK155,1)</f>
        <v>91.8</v>
      </c>
      <c r="R321" s="1332"/>
      <c r="S321" s="1332"/>
      <c r="T321" s="1333">
        <f>+IF(Q321/(K321-Q321)&gt;1,0.5,1-0.5*(Q321/(K321-Q321)))</f>
        <v>0.5</v>
      </c>
      <c r="U321" s="1333"/>
      <c r="V321" s="1333"/>
      <c r="W321" s="1308">
        <f>+U370</f>
        <v>1.3397940008672038</v>
      </c>
      <c r="X321" s="1309"/>
      <c r="Y321" s="1309"/>
      <c r="AD321" s="23">
        <v>0</v>
      </c>
      <c r="AE321" s="24" t="s">
        <v>35</v>
      </c>
      <c r="AF321" s="25">
        <v>0</v>
      </c>
      <c r="AG321" s="865">
        <f t="shared" ref="AG321:AG325" si="15">AF321-AD321</f>
        <v>0</v>
      </c>
      <c r="AH321" s="866"/>
      <c r="AI321" s="26">
        <f>+BC6</f>
        <v>18000</v>
      </c>
      <c r="AJ321" s="257"/>
      <c r="AK321" s="27">
        <f t="shared" ref="AK321:AK342" si="16">IF(AG321="","",(IF(AQ321&lt;0.5*$G$5,((AQ321/$G$5+0.125)/1.25),((AQ321/$G$5)-2)/(-3))))</f>
        <v>0.1</v>
      </c>
      <c r="AL321" s="1693">
        <f t="shared" ref="AL321:AL323" si="17">IF(AK321&lt;0,0,+AK321*AG321/AI321)</f>
        <v>0</v>
      </c>
      <c r="AM321" s="1694"/>
      <c r="AN321" s="1639"/>
      <c r="AO321" s="1640"/>
      <c r="AP321" s="11"/>
      <c r="AQ321" s="28">
        <f>SUM(AG321)/2</f>
        <v>0</v>
      </c>
      <c r="AR321" s="29"/>
      <c r="AS321" s="871">
        <v>1</v>
      </c>
      <c r="AT321" s="871"/>
      <c r="AU321" s="1606">
        <f>+BN6</f>
        <v>9</v>
      </c>
      <c r="AV321" s="1607"/>
      <c r="AW321" s="13"/>
      <c r="AX321" s="30" t="s">
        <v>36</v>
      </c>
      <c r="AY321" s="31" t="s">
        <v>37</v>
      </c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3"/>
    </row>
    <row r="322" spans="1:64" ht="15" customHeight="1" thickBot="1">
      <c r="A322" s="136"/>
      <c r="B322" s="159"/>
      <c r="C322" s="159"/>
      <c r="D322" s="159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258"/>
      <c r="R322" s="258"/>
      <c r="S322" s="258"/>
      <c r="T322" s="258"/>
      <c r="U322" s="258"/>
      <c r="V322" s="258"/>
      <c r="W322" s="258"/>
      <c r="X322" s="252"/>
      <c r="Y322" s="252"/>
      <c r="AD322" s="34">
        <f>+AF321</f>
        <v>0</v>
      </c>
      <c r="AE322" s="24" t="s">
        <v>35</v>
      </c>
      <c r="AF322" s="35">
        <v>0</v>
      </c>
      <c r="AG322" s="865">
        <f t="shared" si="15"/>
        <v>0</v>
      </c>
      <c r="AH322" s="866"/>
      <c r="AI322" s="26">
        <f t="shared" ref="AI322:AI342" si="18">+BC7</f>
        <v>20400</v>
      </c>
      <c r="AJ322" s="257"/>
      <c r="AK322" s="36">
        <f t="shared" si="16"/>
        <v>0.1</v>
      </c>
      <c r="AL322" s="1677">
        <f t="shared" si="17"/>
        <v>0</v>
      </c>
      <c r="AM322" s="1678"/>
      <c r="AN322" s="1380"/>
      <c r="AO322" s="1433"/>
      <c r="AP322" s="11"/>
      <c r="AQ322" s="28">
        <f>SUM(AG321)+(AG322/2)</f>
        <v>0</v>
      </c>
      <c r="AR322" s="29"/>
      <c r="AS322" s="871">
        <v>2</v>
      </c>
      <c r="AT322" s="871"/>
      <c r="AU322" s="1606">
        <f t="shared" ref="AU322:AU347" si="19">+BN7</f>
        <v>11</v>
      </c>
      <c r="AV322" s="1607"/>
      <c r="AW322" s="13"/>
      <c r="AX322" s="1059" t="s">
        <v>40</v>
      </c>
      <c r="AY322" s="1060"/>
      <c r="AZ322" s="1060"/>
      <c r="BA322" s="1060"/>
      <c r="BB322" s="1061"/>
      <c r="BC322" s="1690" t="s">
        <v>41</v>
      </c>
      <c r="BD322" s="1691"/>
      <c r="BE322" s="1691"/>
      <c r="BF322" s="1691"/>
      <c r="BG322" s="1692"/>
      <c r="BH322" s="1059" t="s">
        <v>42</v>
      </c>
      <c r="BI322" s="1060"/>
      <c r="BJ322" s="1060"/>
      <c r="BK322" s="1060"/>
      <c r="BL322" s="1061"/>
    </row>
    <row r="323" spans="1:64" ht="15" customHeight="1" thickTop="1">
      <c r="A323" s="136"/>
      <c r="B323" s="1652" t="s">
        <v>290</v>
      </c>
      <c r="C323" s="1351"/>
      <c r="D323" s="1351"/>
      <c r="E323" s="1349" t="s">
        <v>49</v>
      </c>
      <c r="F323" s="1349"/>
      <c r="G323" s="1351" t="s">
        <v>291</v>
      </c>
      <c r="H323" s="1351"/>
      <c r="I323" s="1351"/>
      <c r="J323" s="1349" t="s">
        <v>55</v>
      </c>
      <c r="K323" s="1349"/>
      <c r="L323" s="1349"/>
      <c r="M323" s="1349" t="s">
        <v>292</v>
      </c>
      <c r="N323" s="1349"/>
      <c r="O323" s="1353" t="s">
        <v>293</v>
      </c>
      <c r="P323" s="1353"/>
      <c r="Q323" s="1354"/>
      <c r="S323" s="259"/>
      <c r="T323" s="259"/>
      <c r="U323" s="259"/>
      <c r="V323" s="259"/>
      <c r="X323" s="259"/>
      <c r="Y323" s="259"/>
      <c r="Z323" s="259"/>
      <c r="AD323" s="34">
        <f t="shared" ref="AD323:AD324" si="20">+AF322</f>
        <v>0</v>
      </c>
      <c r="AE323" s="24" t="s">
        <v>35</v>
      </c>
      <c r="AF323" s="35">
        <v>0</v>
      </c>
      <c r="AG323" s="865">
        <f t="shared" si="15"/>
        <v>0</v>
      </c>
      <c r="AH323" s="866"/>
      <c r="AI323" s="26">
        <f t="shared" si="18"/>
        <v>32400</v>
      </c>
      <c r="AJ323" s="257"/>
      <c r="AK323" s="36">
        <f t="shared" si="16"/>
        <v>0.1</v>
      </c>
      <c r="AL323" s="1677">
        <f t="shared" si="17"/>
        <v>0</v>
      </c>
      <c r="AM323" s="1678"/>
      <c r="AN323" s="1380"/>
      <c r="AO323" s="1433"/>
      <c r="AP323" s="11"/>
      <c r="AQ323" s="28">
        <f>SUM(AG$321:AH322)+(AG323/2)</f>
        <v>0</v>
      </c>
      <c r="AR323" s="29"/>
      <c r="AS323" s="871">
        <v>3</v>
      </c>
      <c r="AT323" s="871"/>
      <c r="AU323" s="1606">
        <f t="shared" si="19"/>
        <v>21</v>
      </c>
      <c r="AV323" s="1607"/>
      <c r="AW323" s="13"/>
      <c r="AX323" s="1149" t="s">
        <v>46</v>
      </c>
      <c r="AY323" s="1150"/>
      <c r="AZ323" s="1150"/>
      <c r="BA323" s="1150"/>
      <c r="BB323" s="1151"/>
      <c r="BC323" s="1682" t="s">
        <v>47</v>
      </c>
      <c r="BD323" s="1683"/>
      <c r="BE323" s="1683"/>
      <c r="BF323" s="1683"/>
      <c r="BG323" s="1684"/>
      <c r="BH323" s="1122"/>
      <c r="BI323" s="1123"/>
      <c r="BJ323" s="1123"/>
      <c r="BK323" s="1123"/>
      <c r="BL323" s="1124"/>
    </row>
    <row r="324" spans="1:64" ht="15" customHeight="1">
      <c r="A324" s="136"/>
      <c r="B324" s="1653"/>
      <c r="C324" s="1352"/>
      <c r="D324" s="1352"/>
      <c r="E324" s="1350"/>
      <c r="F324" s="1350"/>
      <c r="G324" s="1352"/>
      <c r="H324" s="1352"/>
      <c r="I324" s="1352"/>
      <c r="J324" s="1350"/>
      <c r="K324" s="1350"/>
      <c r="L324" s="1350"/>
      <c r="M324" s="1350"/>
      <c r="N324" s="1350"/>
      <c r="O324" s="1355"/>
      <c r="P324" s="1355"/>
      <c r="Q324" s="1356"/>
      <c r="S324" s="259"/>
      <c r="T324" s="259"/>
      <c r="U324" s="259"/>
      <c r="V324" s="259"/>
      <c r="X324" s="259"/>
      <c r="Y324" s="259"/>
      <c r="Z324" s="259"/>
      <c r="AD324" s="34">
        <f t="shared" si="20"/>
        <v>0</v>
      </c>
      <c r="AE324" s="24" t="s">
        <v>35</v>
      </c>
      <c r="AF324" s="35">
        <v>0</v>
      </c>
      <c r="AG324" s="865">
        <f t="shared" si="15"/>
        <v>0</v>
      </c>
      <c r="AH324" s="866"/>
      <c r="AI324" s="26">
        <f t="shared" si="18"/>
        <v>21600</v>
      </c>
      <c r="AJ324" s="257"/>
      <c r="AK324" s="36">
        <f t="shared" si="16"/>
        <v>0.1</v>
      </c>
      <c r="AL324" s="1677">
        <f>IF(AK324&lt;0,0,+AK324*AG324/AI324)</f>
        <v>0</v>
      </c>
      <c r="AM324" s="1678"/>
      <c r="AN324" s="1679"/>
      <c r="AO324" s="1680"/>
      <c r="AP324" s="11"/>
      <c r="AQ324" s="28">
        <f>SUM(AG$321:AH323)+(AG324/2)</f>
        <v>0</v>
      </c>
      <c r="AR324" s="29"/>
      <c r="AS324" s="871">
        <v>4</v>
      </c>
      <c r="AT324" s="871"/>
      <c r="AU324" s="1606">
        <f t="shared" si="19"/>
        <v>12</v>
      </c>
      <c r="AV324" s="1607"/>
      <c r="AW324" s="13"/>
      <c r="AX324" s="1152"/>
      <c r="AY324" s="1153"/>
      <c r="AZ324" s="1153"/>
      <c r="BA324" s="1153"/>
      <c r="BB324" s="1154"/>
      <c r="BC324" s="1688" t="s">
        <v>59</v>
      </c>
      <c r="BD324" s="1203"/>
      <c r="BE324" s="1203"/>
      <c r="BF324" s="1203"/>
      <c r="BG324" s="1689"/>
      <c r="BH324" s="1062" t="s">
        <v>60</v>
      </c>
      <c r="BI324" s="1063"/>
      <c r="BJ324" s="1063"/>
      <c r="BK324" s="1063"/>
      <c r="BL324" s="1064"/>
    </row>
    <row r="325" spans="1:64" ht="15" customHeight="1">
      <c r="A325" s="136"/>
      <c r="B325" s="1641" t="s">
        <v>294</v>
      </c>
      <c r="C325" s="1359"/>
      <c r="D325" s="1359"/>
      <c r="E325" s="1357" t="s">
        <v>20</v>
      </c>
      <c r="F325" s="1357"/>
      <c r="G325" s="1358" t="s">
        <v>295</v>
      </c>
      <c r="H325" s="1358"/>
      <c r="I325" s="1358"/>
      <c r="J325" s="1359" t="s">
        <v>296</v>
      </c>
      <c r="K325" s="1359"/>
      <c r="L325" s="1359"/>
      <c r="M325" s="1359" t="s">
        <v>297</v>
      </c>
      <c r="N325" s="1359"/>
      <c r="O325" s="1359" t="s">
        <v>298</v>
      </c>
      <c r="P325" s="1359"/>
      <c r="Q325" s="1360"/>
      <c r="S325" s="260"/>
      <c r="T325" s="260"/>
      <c r="U325" s="260"/>
      <c r="V325" s="260"/>
      <c r="X325" s="12"/>
      <c r="Y325" s="12"/>
      <c r="Z325" s="12"/>
      <c r="AD325" s="34">
        <f>+AF324</f>
        <v>0</v>
      </c>
      <c r="AE325" s="24" t="s">
        <v>35</v>
      </c>
      <c r="AF325" s="35">
        <v>0</v>
      </c>
      <c r="AG325" s="865">
        <f t="shared" si="15"/>
        <v>0</v>
      </c>
      <c r="AH325" s="866"/>
      <c r="AI325" s="26">
        <f t="shared" si="18"/>
        <v>25200</v>
      </c>
      <c r="AJ325" s="257"/>
      <c r="AK325" s="36">
        <f t="shared" si="16"/>
        <v>0.1</v>
      </c>
      <c r="AL325" s="1677">
        <f t="shared" ref="AL325:AL342" si="21">IF(AK325&lt;0,0,+AK325*AG325/AI325)</f>
        <v>0</v>
      </c>
      <c r="AM325" s="1678"/>
      <c r="AN325" s="1679"/>
      <c r="AO325" s="1680"/>
      <c r="AP325" s="11"/>
      <c r="AQ325" s="28">
        <f>SUM(AG$321:AH324)+(AG325/2)</f>
        <v>0</v>
      </c>
      <c r="AR325" s="29"/>
      <c r="AS325" s="871">
        <v>5</v>
      </c>
      <c r="AT325" s="871"/>
      <c r="AU325" s="1606">
        <f t="shared" si="19"/>
        <v>15</v>
      </c>
      <c r="AV325" s="1607"/>
      <c r="AW325" s="13"/>
      <c r="AX325" s="1152"/>
      <c r="AY325" s="1153"/>
      <c r="AZ325" s="1153"/>
      <c r="BA325" s="1153"/>
      <c r="BB325" s="1154"/>
      <c r="BC325" s="1062" t="s">
        <v>62</v>
      </c>
      <c r="BD325" s="1063"/>
      <c r="BE325" s="1063"/>
      <c r="BF325" s="1063"/>
      <c r="BG325" s="1064"/>
      <c r="BH325" s="1062" t="s">
        <v>63</v>
      </c>
      <c r="BI325" s="1063"/>
      <c r="BJ325" s="1063"/>
      <c r="BK325" s="1063"/>
      <c r="BL325" s="1064"/>
    </row>
    <row r="326" spans="1:64" ht="15" customHeight="1">
      <c r="A326" s="136"/>
      <c r="B326" s="1641"/>
      <c r="C326" s="1359"/>
      <c r="D326" s="1359"/>
      <c r="E326" s="1357"/>
      <c r="F326" s="1357"/>
      <c r="G326" s="1358"/>
      <c r="H326" s="1358"/>
      <c r="I326" s="1358"/>
      <c r="J326" s="1359"/>
      <c r="K326" s="1359"/>
      <c r="L326" s="1359"/>
      <c r="M326" s="1359"/>
      <c r="N326" s="1359"/>
      <c r="O326" s="1359"/>
      <c r="P326" s="1359"/>
      <c r="Q326" s="1360"/>
      <c r="S326" s="260"/>
      <c r="T326" s="260"/>
      <c r="U326" s="260"/>
      <c r="V326" s="260"/>
      <c r="X326" s="12"/>
      <c r="Y326" s="12"/>
      <c r="Z326" s="12"/>
      <c r="AD326" s="34">
        <v>5.0999999999999996</v>
      </c>
      <c r="AE326" s="24" t="s">
        <v>35</v>
      </c>
      <c r="AF326" s="35">
        <v>6</v>
      </c>
      <c r="AG326" s="865">
        <f>AF326-AD326</f>
        <v>0.90000000000000036</v>
      </c>
      <c r="AH326" s="866"/>
      <c r="AI326" s="26">
        <f t="shared" si="18"/>
        <v>15600</v>
      </c>
      <c r="AJ326" s="257"/>
      <c r="AK326" s="36">
        <f t="shared" si="16"/>
        <v>0.14285714285714288</v>
      </c>
      <c r="AL326" s="1677">
        <f t="shared" si="21"/>
        <v>8.2417582417582462E-6</v>
      </c>
      <c r="AM326" s="1678"/>
      <c r="AN326" s="1679"/>
      <c r="AO326" s="1680"/>
      <c r="AP326" s="11"/>
      <c r="AQ326" s="28">
        <f>SUM(AG$321:AH325)+(AG326/2)</f>
        <v>0.45000000000000018</v>
      </c>
      <c r="AR326" s="29"/>
      <c r="AS326" s="871">
        <v>6</v>
      </c>
      <c r="AT326" s="871"/>
      <c r="AU326" s="1606">
        <f t="shared" si="19"/>
        <v>7</v>
      </c>
      <c r="AV326" s="1607"/>
      <c r="AW326" s="40"/>
      <c r="AX326" s="1155"/>
      <c r="AY326" s="1156"/>
      <c r="AZ326" s="1156"/>
      <c r="BA326" s="1156"/>
      <c r="BB326" s="1157"/>
      <c r="BC326" s="1199" t="s">
        <v>64</v>
      </c>
      <c r="BD326" s="1200"/>
      <c r="BE326" s="1200"/>
      <c r="BF326" s="1200"/>
      <c r="BG326" s="1201"/>
      <c r="BH326" s="1119"/>
      <c r="BI326" s="1120"/>
      <c r="BJ326" s="1120"/>
      <c r="BK326" s="1120"/>
      <c r="BL326" s="1121"/>
    </row>
    <row r="327" spans="1:64" ht="15" customHeight="1">
      <c r="A327" s="136"/>
      <c r="B327" s="261">
        <v>0</v>
      </c>
      <c r="C327" s="262" t="s">
        <v>35</v>
      </c>
      <c r="D327" s="263">
        <v>0</v>
      </c>
      <c r="E327" s="909">
        <f>+D327-B327</f>
        <v>0</v>
      </c>
      <c r="F327" s="909"/>
      <c r="G327" s="910">
        <f>+AQ321</f>
        <v>0</v>
      </c>
      <c r="H327" s="910"/>
      <c r="I327" s="910"/>
      <c r="J327" s="912">
        <f>+AI321</f>
        <v>18000</v>
      </c>
      <c r="K327" s="912"/>
      <c r="L327" s="912"/>
      <c r="M327" s="906">
        <f>+AK321</f>
        <v>0.1</v>
      </c>
      <c r="N327" s="906"/>
      <c r="O327" s="907">
        <f>IF(M327&lt;0,0,ROUND(M327*E327/J327,7))</f>
        <v>0</v>
      </c>
      <c r="P327" s="907"/>
      <c r="Q327" s="908"/>
      <c r="S327" s="264"/>
      <c r="T327" s="264"/>
      <c r="U327" s="264"/>
      <c r="V327" s="264"/>
      <c r="X327" s="264"/>
      <c r="Y327" s="264"/>
      <c r="Z327" s="264"/>
      <c r="AD327" s="41">
        <f>AF326</f>
        <v>6</v>
      </c>
      <c r="AE327" s="24" t="s">
        <v>35</v>
      </c>
      <c r="AF327" s="35">
        <v>7</v>
      </c>
      <c r="AG327" s="865">
        <f>AF327-AD327</f>
        <v>1</v>
      </c>
      <c r="AH327" s="866"/>
      <c r="AI327" s="26">
        <f t="shared" si="18"/>
        <v>21600</v>
      </c>
      <c r="AJ327" s="257"/>
      <c r="AK327" s="36">
        <f t="shared" si="16"/>
        <v>0.23333333333333339</v>
      </c>
      <c r="AL327" s="1677">
        <f t="shared" si="21"/>
        <v>1.0802469135802472E-5</v>
      </c>
      <c r="AM327" s="1678"/>
      <c r="AN327" s="1679"/>
      <c r="AO327" s="1680"/>
      <c r="AP327" s="11"/>
      <c r="AQ327" s="28">
        <f>SUM(AG$321:AH326)+(AG327/2)</f>
        <v>1.4000000000000004</v>
      </c>
      <c r="AR327" s="29"/>
      <c r="AS327" s="871">
        <v>7</v>
      </c>
      <c r="AT327" s="871"/>
      <c r="AU327" s="1606">
        <f t="shared" si="19"/>
        <v>12</v>
      </c>
      <c r="AV327" s="1607"/>
      <c r="AW327" s="40"/>
      <c r="AX327" s="1059" t="s">
        <v>65</v>
      </c>
      <c r="AY327" s="1060"/>
      <c r="AZ327" s="1060"/>
      <c r="BA327" s="1060"/>
      <c r="BB327" s="1061"/>
      <c r="BC327" s="1085" t="s">
        <v>66</v>
      </c>
      <c r="BD327" s="1086"/>
      <c r="BE327" s="1086"/>
      <c r="BF327" s="1086"/>
      <c r="BG327" s="1087"/>
      <c r="BH327" s="1085" t="s">
        <v>67</v>
      </c>
      <c r="BI327" s="1086"/>
      <c r="BJ327" s="1086"/>
      <c r="BK327" s="1086"/>
      <c r="BL327" s="1087"/>
    </row>
    <row r="328" spans="1:64" ht="15" customHeight="1">
      <c r="A328" s="136"/>
      <c r="B328" s="261">
        <f>+D327</f>
        <v>0</v>
      </c>
      <c r="C328" s="262" t="s">
        <v>35</v>
      </c>
      <c r="D328" s="263">
        <v>0</v>
      </c>
      <c r="E328" s="909">
        <f t="shared" ref="E328:E348" si="22">+D328-B328</f>
        <v>0</v>
      </c>
      <c r="F328" s="909"/>
      <c r="G328" s="910">
        <f t="shared" ref="G328:G348" si="23">+AQ322</f>
        <v>0</v>
      </c>
      <c r="H328" s="910"/>
      <c r="I328" s="910"/>
      <c r="J328" s="912">
        <f t="shared" ref="J328:J348" si="24">+AI322</f>
        <v>20400</v>
      </c>
      <c r="K328" s="912"/>
      <c r="L328" s="912"/>
      <c r="M328" s="906">
        <f t="shared" ref="M328:M348" si="25">+AK322</f>
        <v>0.1</v>
      </c>
      <c r="N328" s="906"/>
      <c r="O328" s="907">
        <f>IF(M328&lt;0,0,ROUND(M328*E328/J328,7))</f>
        <v>0</v>
      </c>
      <c r="P328" s="907"/>
      <c r="Q328" s="908"/>
      <c r="S328" s="264"/>
      <c r="T328" s="264"/>
      <c r="U328" s="264"/>
      <c r="V328" s="264"/>
      <c r="X328" s="264"/>
      <c r="Y328" s="264"/>
      <c r="Z328" s="264"/>
      <c r="AD328" s="41">
        <f>+AF327</f>
        <v>7</v>
      </c>
      <c r="AE328" s="24" t="s">
        <v>35</v>
      </c>
      <c r="AF328" s="35">
        <v>8</v>
      </c>
      <c r="AG328" s="865">
        <f>AF328-AD328</f>
        <v>1</v>
      </c>
      <c r="AH328" s="866"/>
      <c r="AI328" s="26">
        <f t="shared" si="18"/>
        <v>30000</v>
      </c>
      <c r="AJ328" s="257"/>
      <c r="AK328" s="36">
        <f t="shared" si="16"/>
        <v>0.32857142857142863</v>
      </c>
      <c r="AL328" s="1677">
        <f t="shared" si="21"/>
        <v>1.0952380952380955E-5</v>
      </c>
      <c r="AM328" s="1678"/>
      <c r="AN328" s="1679"/>
      <c r="AO328" s="1680"/>
      <c r="AP328" s="11"/>
      <c r="AQ328" s="28">
        <f>SUM(AG$321:AH327)+(AG328/2)</f>
        <v>2.4000000000000004</v>
      </c>
      <c r="AR328" s="29"/>
      <c r="AS328" s="871">
        <v>8</v>
      </c>
      <c r="AT328" s="871"/>
      <c r="AU328" s="1606">
        <f t="shared" si="19"/>
        <v>19</v>
      </c>
      <c r="AV328" s="1607"/>
      <c r="AW328" s="40"/>
      <c r="AX328" s="1059" t="s">
        <v>68</v>
      </c>
      <c r="AY328" s="1060"/>
      <c r="AZ328" s="1060"/>
      <c r="BA328" s="1060"/>
      <c r="BB328" s="1061"/>
      <c r="BC328" s="1085" t="s">
        <v>69</v>
      </c>
      <c r="BD328" s="1086"/>
      <c r="BE328" s="1086"/>
      <c r="BF328" s="1086"/>
      <c r="BG328" s="1087"/>
      <c r="BH328" s="1085" t="s">
        <v>70</v>
      </c>
      <c r="BI328" s="1086"/>
      <c r="BJ328" s="1086"/>
      <c r="BK328" s="1086"/>
      <c r="BL328" s="1087"/>
    </row>
    <row r="329" spans="1:64" ht="15" customHeight="1">
      <c r="A329" s="136"/>
      <c r="B329" s="261">
        <f t="shared" ref="B329:B348" si="26">+D328</f>
        <v>0</v>
      </c>
      <c r="C329" s="262" t="s">
        <v>35</v>
      </c>
      <c r="D329" s="263">
        <v>0</v>
      </c>
      <c r="E329" s="909">
        <f t="shared" si="22"/>
        <v>0</v>
      </c>
      <c r="F329" s="909"/>
      <c r="G329" s="910">
        <f t="shared" si="23"/>
        <v>0</v>
      </c>
      <c r="H329" s="910"/>
      <c r="I329" s="910"/>
      <c r="J329" s="912">
        <f t="shared" si="24"/>
        <v>32400</v>
      </c>
      <c r="K329" s="912"/>
      <c r="L329" s="912"/>
      <c r="M329" s="906">
        <f t="shared" si="25"/>
        <v>0.1</v>
      </c>
      <c r="N329" s="906"/>
      <c r="O329" s="907">
        <f t="shared" ref="O329:O348" si="27">IF(M329&lt;0,0,ROUND(M329*E329/J329,7))</f>
        <v>0</v>
      </c>
      <c r="P329" s="907"/>
      <c r="Q329" s="908"/>
      <c r="S329" s="264"/>
      <c r="T329" s="264"/>
      <c r="U329" s="264"/>
      <c r="V329" s="264"/>
      <c r="X329" s="264"/>
      <c r="Y329" s="264"/>
      <c r="Z329" s="264"/>
      <c r="AD329" s="41">
        <f>AF328</f>
        <v>8</v>
      </c>
      <c r="AE329" s="24" t="s">
        <v>35</v>
      </c>
      <c r="AF329" s="35">
        <v>9</v>
      </c>
      <c r="AG329" s="865">
        <f>AF329-AD329</f>
        <v>1</v>
      </c>
      <c r="AH329" s="866"/>
      <c r="AI329" s="26">
        <f t="shared" si="18"/>
        <v>9900</v>
      </c>
      <c r="AJ329" s="257"/>
      <c r="AK329" s="36">
        <f t="shared" si="16"/>
        <v>0.4238095238095238</v>
      </c>
      <c r="AL329" s="1677">
        <f t="shared" si="21"/>
        <v>4.2809042809042806E-5</v>
      </c>
      <c r="AM329" s="1678"/>
      <c r="AN329" s="1679"/>
      <c r="AO329" s="1680"/>
      <c r="AP329" s="11"/>
      <c r="AQ329" s="28">
        <f>SUM(AG$321:AH328)+(AG329/2)</f>
        <v>3.4000000000000004</v>
      </c>
      <c r="AR329" s="29"/>
      <c r="AS329" s="871">
        <v>9</v>
      </c>
      <c r="AT329" s="871"/>
      <c r="AU329" s="1606">
        <f t="shared" si="19"/>
        <v>27</v>
      </c>
      <c r="AV329" s="1607"/>
      <c r="AW329" s="40"/>
      <c r="AX329" s="1059" t="s">
        <v>72</v>
      </c>
      <c r="AY329" s="1060"/>
      <c r="AZ329" s="1060"/>
      <c r="BA329" s="1060"/>
      <c r="BB329" s="1061"/>
      <c r="BC329" s="1685" t="s">
        <v>73</v>
      </c>
      <c r="BD329" s="1686"/>
      <c r="BE329" s="1686"/>
      <c r="BF329" s="1686"/>
      <c r="BG329" s="1687"/>
      <c r="BH329" s="1085"/>
      <c r="BI329" s="1086"/>
      <c r="BJ329" s="1086"/>
      <c r="BK329" s="1086"/>
      <c r="BL329" s="1087"/>
    </row>
    <row r="330" spans="1:64" ht="15" customHeight="1">
      <c r="A330" s="136"/>
      <c r="B330" s="261">
        <f t="shared" si="26"/>
        <v>0</v>
      </c>
      <c r="C330" s="262" t="s">
        <v>35</v>
      </c>
      <c r="D330" s="263">
        <v>0</v>
      </c>
      <c r="E330" s="909">
        <f t="shared" si="22"/>
        <v>0</v>
      </c>
      <c r="F330" s="909"/>
      <c r="G330" s="910">
        <f t="shared" si="23"/>
        <v>0</v>
      </c>
      <c r="H330" s="910"/>
      <c r="I330" s="910"/>
      <c r="J330" s="912">
        <f t="shared" si="24"/>
        <v>21600</v>
      </c>
      <c r="K330" s="912"/>
      <c r="L330" s="912"/>
      <c r="M330" s="906">
        <f t="shared" si="25"/>
        <v>0.1</v>
      </c>
      <c r="N330" s="906"/>
      <c r="O330" s="907">
        <f t="shared" si="27"/>
        <v>0</v>
      </c>
      <c r="P330" s="907"/>
      <c r="Q330" s="908"/>
      <c r="S330" s="264"/>
      <c r="T330" s="264"/>
      <c r="U330" s="264"/>
      <c r="V330" s="264"/>
      <c r="X330" s="264"/>
      <c r="Y330" s="264"/>
      <c r="Z330" s="264"/>
      <c r="AD330" s="41">
        <f>AF329</f>
        <v>9</v>
      </c>
      <c r="AE330" s="24" t="s">
        <v>35</v>
      </c>
      <c r="AF330" s="35">
        <v>10</v>
      </c>
      <c r="AG330" s="865">
        <f>AF330-AD330</f>
        <v>1</v>
      </c>
      <c r="AH330" s="866"/>
      <c r="AI330" s="26">
        <f t="shared" si="18"/>
        <v>25000</v>
      </c>
      <c r="AJ330" s="257"/>
      <c r="AK330" s="36">
        <f t="shared" si="16"/>
        <v>0.49206349206349209</v>
      </c>
      <c r="AL330" s="1677">
        <f t="shared" si="21"/>
        <v>1.9682539682539684E-5</v>
      </c>
      <c r="AM330" s="1678"/>
      <c r="AN330" s="1679"/>
      <c r="AO330" s="1680"/>
      <c r="AP330" s="11"/>
      <c r="AQ330" s="28">
        <f>SUM(AG$321:AH329)+(AG330/2)</f>
        <v>4.4000000000000004</v>
      </c>
      <c r="AR330" s="29"/>
      <c r="AS330" s="871">
        <v>10</v>
      </c>
      <c r="AT330" s="871"/>
      <c r="AU330" s="1606">
        <f t="shared" si="19"/>
        <v>35</v>
      </c>
      <c r="AV330" s="1607"/>
      <c r="AW330" s="40"/>
      <c r="AX330" s="1059" t="s">
        <v>75</v>
      </c>
      <c r="AY330" s="1060"/>
      <c r="AZ330" s="1060"/>
      <c r="BA330" s="1060"/>
      <c r="BB330" s="1061"/>
      <c r="BC330" s="1074"/>
      <c r="BD330" s="1075"/>
      <c r="BE330" s="1075"/>
      <c r="BF330" s="1075"/>
      <c r="BG330" s="1076"/>
      <c r="BH330" s="1085" t="s">
        <v>76</v>
      </c>
      <c r="BI330" s="1086"/>
      <c r="BJ330" s="1086"/>
      <c r="BK330" s="1086"/>
      <c r="BL330" s="1087"/>
    </row>
    <row r="331" spans="1:64" ht="15" customHeight="1">
      <c r="A331" s="136"/>
      <c r="B331" s="261">
        <f t="shared" si="26"/>
        <v>0</v>
      </c>
      <c r="C331" s="262" t="s">
        <v>35</v>
      </c>
      <c r="D331" s="263">
        <v>0</v>
      </c>
      <c r="E331" s="909">
        <f t="shared" si="22"/>
        <v>0</v>
      </c>
      <c r="F331" s="909"/>
      <c r="G331" s="910">
        <f t="shared" si="23"/>
        <v>0</v>
      </c>
      <c r="H331" s="910"/>
      <c r="I331" s="910"/>
      <c r="J331" s="912">
        <f t="shared" si="24"/>
        <v>25200</v>
      </c>
      <c r="K331" s="912"/>
      <c r="L331" s="912"/>
      <c r="M331" s="906">
        <f t="shared" si="25"/>
        <v>0.1</v>
      </c>
      <c r="N331" s="906"/>
      <c r="O331" s="907">
        <f t="shared" si="27"/>
        <v>0</v>
      </c>
      <c r="P331" s="907"/>
      <c r="Q331" s="908"/>
      <c r="S331" s="264"/>
      <c r="T331" s="264"/>
      <c r="U331" s="264"/>
      <c r="V331" s="264"/>
      <c r="X331" s="264"/>
      <c r="Y331" s="264"/>
      <c r="Z331" s="264"/>
      <c r="AD331" s="41">
        <f t="shared" ref="AD331:AD346" si="28">AF330</f>
        <v>10</v>
      </c>
      <c r="AE331" s="24" t="s">
        <v>35</v>
      </c>
      <c r="AF331" s="35">
        <v>11</v>
      </c>
      <c r="AG331" s="865">
        <f t="shared" ref="AG331:AG342" si="29">AF331-AD331</f>
        <v>1</v>
      </c>
      <c r="AH331" s="866"/>
      <c r="AI331" s="26">
        <f t="shared" si="18"/>
        <v>27000</v>
      </c>
      <c r="AJ331" s="257"/>
      <c r="AK331" s="36">
        <f t="shared" si="16"/>
        <v>0.45238095238095238</v>
      </c>
      <c r="AL331" s="1677">
        <f t="shared" si="21"/>
        <v>1.6754850088183422E-5</v>
      </c>
      <c r="AM331" s="1678"/>
      <c r="AN331" s="1679"/>
      <c r="AO331" s="1680"/>
      <c r="AP331" s="11"/>
      <c r="AQ331" s="28">
        <f>SUM(AG$321:AH330)+(AG331/2)</f>
        <v>5.4</v>
      </c>
      <c r="AR331" s="44"/>
      <c r="AS331" s="871">
        <v>11</v>
      </c>
      <c r="AT331" s="871"/>
      <c r="AU331" s="1606">
        <f t="shared" si="19"/>
        <v>39</v>
      </c>
      <c r="AV331" s="1607"/>
      <c r="AW331" s="45"/>
      <c r="AX331" s="1149" t="s">
        <v>78</v>
      </c>
      <c r="AY331" s="1150"/>
      <c r="AZ331" s="1150"/>
      <c r="BA331" s="1150"/>
      <c r="BB331" s="1151"/>
      <c r="BC331" s="1122" t="s">
        <v>79</v>
      </c>
      <c r="BD331" s="1123"/>
      <c r="BE331" s="1123"/>
      <c r="BF331" s="1123"/>
      <c r="BG331" s="1124"/>
      <c r="BH331" s="1682" t="s">
        <v>80</v>
      </c>
      <c r="BI331" s="1683"/>
      <c r="BJ331" s="1683"/>
      <c r="BK331" s="1683"/>
      <c r="BL331" s="1684"/>
    </row>
    <row r="332" spans="1:64" ht="15" customHeight="1">
      <c r="A332" s="136"/>
      <c r="B332" s="261">
        <f t="shared" si="26"/>
        <v>0</v>
      </c>
      <c r="C332" s="262" t="s">
        <v>35</v>
      </c>
      <c r="D332" s="263">
        <v>0</v>
      </c>
      <c r="E332" s="909">
        <f t="shared" si="22"/>
        <v>0</v>
      </c>
      <c r="F332" s="909"/>
      <c r="G332" s="910">
        <f t="shared" si="23"/>
        <v>0.45000000000000018</v>
      </c>
      <c r="H332" s="910"/>
      <c r="I332" s="910"/>
      <c r="J332" s="912">
        <f t="shared" si="24"/>
        <v>15600</v>
      </c>
      <c r="K332" s="912"/>
      <c r="L332" s="912"/>
      <c r="M332" s="906">
        <f t="shared" si="25"/>
        <v>0.14285714285714288</v>
      </c>
      <c r="N332" s="906"/>
      <c r="O332" s="907">
        <f t="shared" si="27"/>
        <v>0</v>
      </c>
      <c r="P332" s="907"/>
      <c r="Q332" s="908"/>
      <c r="S332" s="264"/>
      <c r="T332" s="264"/>
      <c r="U332" s="264"/>
      <c r="V332" s="264"/>
      <c r="X332" s="264"/>
      <c r="Y332" s="264"/>
      <c r="Z332" s="264"/>
      <c r="AD332" s="41">
        <f t="shared" si="28"/>
        <v>11</v>
      </c>
      <c r="AE332" s="24" t="s">
        <v>35</v>
      </c>
      <c r="AF332" s="35">
        <v>12</v>
      </c>
      <c r="AG332" s="865">
        <f t="shared" si="29"/>
        <v>1</v>
      </c>
      <c r="AH332" s="866"/>
      <c r="AI332" s="26">
        <f t="shared" si="18"/>
        <v>30500</v>
      </c>
      <c r="AJ332" s="257"/>
      <c r="AK332" s="36">
        <f t="shared" si="16"/>
        <v>0.41269841269841273</v>
      </c>
      <c r="AL332" s="1677">
        <f t="shared" si="21"/>
        <v>1.3531095498308613E-5</v>
      </c>
      <c r="AM332" s="1678"/>
      <c r="AN332" s="1679"/>
      <c r="AO332" s="1680"/>
      <c r="AP332" s="11"/>
      <c r="AQ332" s="28">
        <f>SUM(AG$321:AH331)+(AG332/2)</f>
        <v>6.4</v>
      </c>
      <c r="AR332" s="52"/>
      <c r="AS332" s="871">
        <v>12</v>
      </c>
      <c r="AT332" s="871"/>
      <c r="AU332" s="1606">
        <f t="shared" si="19"/>
        <v>46</v>
      </c>
      <c r="AV332" s="1607"/>
      <c r="AW332" s="40"/>
      <c r="AX332" s="1155"/>
      <c r="AY332" s="1156"/>
      <c r="AZ332" s="1156"/>
      <c r="BA332" s="1156"/>
      <c r="BB332" s="1157"/>
      <c r="BC332" s="1192" t="s">
        <v>82</v>
      </c>
      <c r="BD332" s="1191"/>
      <c r="BE332" s="1191"/>
      <c r="BF332" s="1191"/>
      <c r="BG332" s="1193"/>
      <c r="BH332" s="1192" t="s">
        <v>83</v>
      </c>
      <c r="BI332" s="1191"/>
      <c r="BJ332" s="1191"/>
      <c r="BK332" s="1191"/>
      <c r="BL332" s="1193"/>
    </row>
    <row r="333" spans="1:64" ht="15" customHeight="1">
      <c r="A333" s="136"/>
      <c r="B333" s="261">
        <f t="shared" si="26"/>
        <v>0</v>
      </c>
      <c r="C333" s="262" t="s">
        <v>35</v>
      </c>
      <c r="D333" s="263">
        <v>0</v>
      </c>
      <c r="E333" s="909">
        <f t="shared" si="22"/>
        <v>0</v>
      </c>
      <c r="F333" s="909"/>
      <c r="G333" s="910">
        <f t="shared" si="23"/>
        <v>1.4000000000000004</v>
      </c>
      <c r="H333" s="910"/>
      <c r="I333" s="910"/>
      <c r="J333" s="912">
        <f t="shared" si="24"/>
        <v>21600</v>
      </c>
      <c r="K333" s="912"/>
      <c r="L333" s="912"/>
      <c r="M333" s="906">
        <f t="shared" si="25"/>
        <v>0.23333333333333339</v>
      </c>
      <c r="N333" s="906"/>
      <c r="O333" s="907">
        <f t="shared" si="27"/>
        <v>0</v>
      </c>
      <c r="P333" s="907"/>
      <c r="Q333" s="908"/>
      <c r="S333" s="264"/>
      <c r="T333" s="264"/>
      <c r="U333" s="264"/>
      <c r="V333" s="264"/>
      <c r="X333" s="264"/>
      <c r="Y333" s="264"/>
      <c r="Z333" s="264"/>
      <c r="AD333" s="41">
        <f t="shared" si="28"/>
        <v>12</v>
      </c>
      <c r="AE333" s="24" t="s">
        <v>35</v>
      </c>
      <c r="AF333" s="35">
        <v>13</v>
      </c>
      <c r="AG333" s="865">
        <f t="shared" si="29"/>
        <v>1</v>
      </c>
      <c r="AH333" s="866"/>
      <c r="AI333" s="26">
        <f t="shared" si="18"/>
        <v>31000</v>
      </c>
      <c r="AJ333" s="257"/>
      <c r="AK333" s="36">
        <f t="shared" si="16"/>
        <v>0.37301587301587302</v>
      </c>
      <c r="AL333" s="1677">
        <f t="shared" si="21"/>
        <v>1.2032770097286227E-5</v>
      </c>
      <c r="AM333" s="1678"/>
      <c r="AN333" s="1679"/>
      <c r="AO333" s="1680"/>
      <c r="AQ333" s="28">
        <f>SUM(AG$321:AH332)+(AG333/2)</f>
        <v>7.4</v>
      </c>
      <c r="AR333" s="57"/>
      <c r="AS333" s="871">
        <v>13</v>
      </c>
      <c r="AT333" s="871"/>
      <c r="AU333" s="1606">
        <f t="shared" si="19"/>
        <v>47</v>
      </c>
      <c r="AV333" s="1607"/>
      <c r="AX333" s="1059" t="s">
        <v>85</v>
      </c>
      <c r="AY333" s="1060"/>
      <c r="AZ333" s="1060"/>
      <c r="BA333" s="1060"/>
      <c r="BB333" s="1061"/>
      <c r="BC333" s="1199" t="s">
        <v>86</v>
      </c>
      <c r="BD333" s="1200"/>
      <c r="BE333" s="1200"/>
      <c r="BF333" s="1200"/>
      <c r="BG333" s="1201"/>
      <c r="BH333" s="1119" t="s">
        <v>87</v>
      </c>
      <c r="BI333" s="1120"/>
      <c r="BJ333" s="1120"/>
      <c r="BK333" s="1120"/>
      <c r="BL333" s="1121"/>
    </row>
    <row r="334" spans="1:64" ht="15" customHeight="1">
      <c r="A334" s="136"/>
      <c r="B334" s="261">
        <v>7.4</v>
      </c>
      <c r="C334" s="262" t="s">
        <v>35</v>
      </c>
      <c r="D334" s="263">
        <f t="shared" ref="D334:D345" si="30">+AF328</f>
        <v>8</v>
      </c>
      <c r="E334" s="909">
        <f t="shared" si="22"/>
        <v>0.59999999999999964</v>
      </c>
      <c r="F334" s="909"/>
      <c r="G334" s="910">
        <f t="shared" si="23"/>
        <v>2.4000000000000004</v>
      </c>
      <c r="H334" s="910"/>
      <c r="I334" s="910"/>
      <c r="J334" s="912">
        <f t="shared" si="24"/>
        <v>30000</v>
      </c>
      <c r="K334" s="912"/>
      <c r="L334" s="912"/>
      <c r="M334" s="906">
        <f t="shared" si="25"/>
        <v>0.32857142857142863</v>
      </c>
      <c r="N334" s="906"/>
      <c r="O334" s="907">
        <f t="shared" si="27"/>
        <v>6.6000000000000003E-6</v>
      </c>
      <c r="P334" s="907"/>
      <c r="Q334" s="908"/>
      <c r="S334" s="264"/>
      <c r="T334" s="264"/>
      <c r="U334" s="264"/>
      <c r="V334" s="264"/>
      <c r="X334" s="264"/>
      <c r="Y334" s="264"/>
      <c r="Z334" s="264"/>
      <c r="AD334" s="41">
        <f t="shared" si="28"/>
        <v>13</v>
      </c>
      <c r="AE334" s="24" t="s">
        <v>35</v>
      </c>
      <c r="AF334" s="35">
        <v>14</v>
      </c>
      <c r="AG334" s="865">
        <f t="shared" si="29"/>
        <v>1</v>
      </c>
      <c r="AH334" s="866"/>
      <c r="AI334" s="26">
        <f t="shared" si="18"/>
        <v>33000</v>
      </c>
      <c r="AJ334" s="257"/>
      <c r="AK334" s="36">
        <f t="shared" si="16"/>
        <v>0.33333333333333331</v>
      </c>
      <c r="AL334" s="1677">
        <f t="shared" si="21"/>
        <v>1.01010101010101E-5</v>
      </c>
      <c r="AM334" s="1678"/>
      <c r="AN334" s="1679"/>
      <c r="AO334" s="1680"/>
      <c r="AQ334" s="28">
        <f>SUM(AG$321:AH333)+(AG334/2)</f>
        <v>8.4</v>
      </c>
      <c r="AR334" s="57"/>
      <c r="AS334" s="871">
        <v>14</v>
      </c>
      <c r="AT334" s="871"/>
      <c r="AU334" s="1606">
        <f t="shared" si="19"/>
        <v>51</v>
      </c>
      <c r="AV334" s="1607"/>
      <c r="AX334" s="1059"/>
      <c r="AY334" s="1060"/>
      <c r="AZ334" s="1060"/>
      <c r="BA334" s="1060"/>
      <c r="BB334" s="1061"/>
      <c r="BC334" s="1074" t="s">
        <v>92</v>
      </c>
      <c r="BD334" s="1075"/>
      <c r="BE334" s="1075"/>
      <c r="BF334" s="1075"/>
      <c r="BG334" s="1076"/>
      <c r="BH334" s="1074" t="s">
        <v>93</v>
      </c>
      <c r="BI334" s="1075"/>
      <c r="BJ334" s="1075"/>
      <c r="BK334" s="1075"/>
      <c r="BL334" s="1076"/>
    </row>
    <row r="335" spans="1:64" ht="15" customHeight="1">
      <c r="A335" s="136"/>
      <c r="B335" s="261">
        <f t="shared" si="26"/>
        <v>8</v>
      </c>
      <c r="C335" s="262" t="s">
        <v>35</v>
      </c>
      <c r="D335" s="263">
        <f t="shared" si="30"/>
        <v>9</v>
      </c>
      <c r="E335" s="909">
        <f t="shared" si="22"/>
        <v>1</v>
      </c>
      <c r="F335" s="909"/>
      <c r="G335" s="910">
        <f t="shared" si="23"/>
        <v>3.4000000000000004</v>
      </c>
      <c r="H335" s="910"/>
      <c r="I335" s="910"/>
      <c r="J335" s="912">
        <f t="shared" si="24"/>
        <v>9900</v>
      </c>
      <c r="K335" s="912"/>
      <c r="L335" s="912"/>
      <c r="M335" s="906">
        <f t="shared" si="25"/>
        <v>0.4238095238095238</v>
      </c>
      <c r="N335" s="906"/>
      <c r="O335" s="907">
        <f t="shared" si="27"/>
        <v>4.2799999999999997E-5</v>
      </c>
      <c r="P335" s="907"/>
      <c r="Q335" s="908"/>
      <c r="S335" s="264"/>
      <c r="T335" s="264"/>
      <c r="U335" s="264"/>
      <c r="V335" s="264"/>
      <c r="X335" s="264"/>
      <c r="Y335" s="264"/>
      <c r="Z335" s="264"/>
      <c r="AD335" s="41">
        <f t="shared" si="28"/>
        <v>14</v>
      </c>
      <c r="AE335" s="24" t="s">
        <v>35</v>
      </c>
      <c r="AF335" s="35">
        <v>15</v>
      </c>
      <c r="AG335" s="865">
        <f t="shared" si="29"/>
        <v>1</v>
      </c>
      <c r="AH335" s="866"/>
      <c r="AI335" s="26">
        <f t="shared" si="18"/>
        <v>36000</v>
      </c>
      <c r="AJ335" s="265"/>
      <c r="AK335" s="36">
        <f t="shared" si="16"/>
        <v>0.29365079365079366</v>
      </c>
      <c r="AL335" s="1677">
        <f t="shared" si="21"/>
        <v>8.1569664902998245E-6</v>
      </c>
      <c r="AM335" s="1678"/>
      <c r="AN335" s="1679"/>
      <c r="AO335" s="1680"/>
      <c r="AQ335" s="28">
        <f>SUM(AG$321:AH334)+(AG335/2)</f>
        <v>9.4</v>
      </c>
      <c r="AR335" s="57"/>
      <c r="AS335" s="871">
        <v>15</v>
      </c>
      <c r="AT335" s="871"/>
      <c r="AU335" s="1606">
        <f t="shared" si="19"/>
        <v>57</v>
      </c>
      <c r="AV335" s="1607"/>
      <c r="AX335" s="1150"/>
      <c r="AY335" s="1150"/>
      <c r="AZ335" s="1150"/>
      <c r="BA335" s="1150"/>
      <c r="BB335" s="1150"/>
      <c r="BC335" s="1681"/>
      <c r="BD335" s="1681"/>
      <c r="BE335" s="1681"/>
      <c r="BF335" s="1681"/>
      <c r="BG335" s="1681"/>
      <c r="BH335" s="1150"/>
      <c r="BI335" s="1150"/>
      <c r="BJ335" s="1150"/>
      <c r="BK335" s="1150"/>
      <c r="BL335" s="1150"/>
    </row>
    <row r="336" spans="1:64" ht="15" customHeight="1">
      <c r="A336" s="136"/>
      <c r="B336" s="261">
        <f t="shared" si="26"/>
        <v>9</v>
      </c>
      <c r="C336" s="262" t="s">
        <v>35</v>
      </c>
      <c r="D336" s="263">
        <f t="shared" si="30"/>
        <v>10</v>
      </c>
      <c r="E336" s="909">
        <f t="shared" si="22"/>
        <v>1</v>
      </c>
      <c r="F336" s="909"/>
      <c r="G336" s="910">
        <f t="shared" si="23"/>
        <v>4.4000000000000004</v>
      </c>
      <c r="H336" s="910"/>
      <c r="I336" s="910"/>
      <c r="J336" s="912">
        <f t="shared" si="24"/>
        <v>25000</v>
      </c>
      <c r="K336" s="912"/>
      <c r="L336" s="912"/>
      <c r="M336" s="906">
        <f t="shared" si="25"/>
        <v>0.49206349206349209</v>
      </c>
      <c r="N336" s="906"/>
      <c r="O336" s="907">
        <f t="shared" si="27"/>
        <v>1.9700000000000001E-5</v>
      </c>
      <c r="P336" s="907"/>
      <c r="Q336" s="908"/>
      <c r="S336" s="264"/>
      <c r="T336" s="264"/>
      <c r="U336" s="264"/>
      <c r="V336" s="264"/>
      <c r="X336" s="264"/>
      <c r="Y336" s="264"/>
      <c r="Z336" s="264"/>
      <c r="AD336" s="41">
        <f t="shared" si="28"/>
        <v>15</v>
      </c>
      <c r="AE336" s="24" t="s">
        <v>35</v>
      </c>
      <c r="AF336" s="35">
        <v>16</v>
      </c>
      <c r="AG336" s="865">
        <f t="shared" si="29"/>
        <v>1</v>
      </c>
      <c r="AH336" s="866"/>
      <c r="AI336" s="26">
        <f t="shared" si="18"/>
        <v>49000</v>
      </c>
      <c r="AJ336" s="265"/>
      <c r="AK336" s="36">
        <f t="shared" si="16"/>
        <v>0.25396825396825395</v>
      </c>
      <c r="AL336" s="1677">
        <f t="shared" si="21"/>
        <v>5.1830255911888565E-6</v>
      </c>
      <c r="AM336" s="1678"/>
      <c r="AN336" s="1679"/>
      <c r="AO336" s="1680"/>
      <c r="AQ336" s="28">
        <f>SUM(AG$321:AH335)+(AG336/2)</f>
        <v>10.4</v>
      </c>
      <c r="AR336" s="57"/>
      <c r="AS336" s="871">
        <v>16</v>
      </c>
      <c r="AT336" s="871"/>
      <c r="AU336" s="1606">
        <f t="shared" si="19"/>
        <v>83</v>
      </c>
      <c r="AV336" s="1607"/>
      <c r="AX336" s="1153"/>
      <c r="AY336" s="1153"/>
      <c r="AZ336" s="1153"/>
      <c r="BA336" s="1153"/>
      <c r="BB336" s="1153"/>
      <c r="BC336" s="1063"/>
      <c r="BD336" s="1063"/>
      <c r="BE336" s="1063"/>
      <c r="BF336" s="1063"/>
      <c r="BG336" s="1063"/>
      <c r="BH336" s="1191"/>
      <c r="BI336" s="1191"/>
      <c r="BJ336" s="1191"/>
      <c r="BK336" s="1191"/>
      <c r="BL336" s="1191"/>
    </row>
    <row r="337" spans="1:64" ht="15" customHeight="1">
      <c r="A337" s="136"/>
      <c r="B337" s="261">
        <f t="shared" si="26"/>
        <v>10</v>
      </c>
      <c r="C337" s="262" t="s">
        <v>35</v>
      </c>
      <c r="D337" s="263">
        <f t="shared" si="30"/>
        <v>11</v>
      </c>
      <c r="E337" s="909">
        <f t="shared" si="22"/>
        <v>1</v>
      </c>
      <c r="F337" s="909"/>
      <c r="G337" s="910">
        <f t="shared" si="23"/>
        <v>5.4</v>
      </c>
      <c r="H337" s="910"/>
      <c r="I337" s="910"/>
      <c r="J337" s="912">
        <f t="shared" si="24"/>
        <v>27000</v>
      </c>
      <c r="K337" s="912"/>
      <c r="L337" s="912"/>
      <c r="M337" s="906">
        <f t="shared" si="25"/>
        <v>0.45238095238095238</v>
      </c>
      <c r="N337" s="906"/>
      <c r="O337" s="907">
        <f t="shared" si="27"/>
        <v>1.6799999999999998E-5</v>
      </c>
      <c r="P337" s="907"/>
      <c r="Q337" s="908"/>
      <c r="S337" s="264"/>
      <c r="T337" s="264"/>
      <c r="U337" s="264"/>
      <c r="V337" s="264"/>
      <c r="X337" s="264"/>
      <c r="Y337" s="264"/>
      <c r="Z337" s="264"/>
      <c r="AD337" s="41">
        <f t="shared" si="28"/>
        <v>16</v>
      </c>
      <c r="AE337" s="24" t="s">
        <v>35</v>
      </c>
      <c r="AF337" s="35">
        <v>17</v>
      </c>
      <c r="AG337" s="865">
        <f t="shared" si="29"/>
        <v>1</v>
      </c>
      <c r="AH337" s="866"/>
      <c r="AI337" s="26">
        <f t="shared" si="18"/>
        <v>54000</v>
      </c>
      <c r="AJ337" s="265"/>
      <c r="AK337" s="36">
        <f t="shared" si="16"/>
        <v>0.21428571428571427</v>
      </c>
      <c r="AL337" s="1677">
        <f t="shared" si="21"/>
        <v>3.9682539682539681E-6</v>
      </c>
      <c r="AM337" s="1678"/>
      <c r="AN337" s="1679"/>
      <c r="AO337" s="1680"/>
      <c r="AQ337" s="28">
        <f>SUM(AG$321:AH336)+(AG337/2)</f>
        <v>11.4</v>
      </c>
      <c r="AR337" s="57"/>
      <c r="AS337" s="871">
        <v>17</v>
      </c>
      <c r="AT337" s="871"/>
      <c r="AU337" s="1606">
        <f t="shared" si="19"/>
        <v>93</v>
      </c>
      <c r="AV337" s="1607"/>
      <c r="AX337" s="1153"/>
      <c r="AY337" s="1153"/>
      <c r="AZ337" s="1153"/>
      <c r="BA337" s="1153"/>
      <c r="BB337" s="1153"/>
      <c r="BC337" s="1203"/>
      <c r="BD337" s="1203"/>
      <c r="BE337" s="1203"/>
      <c r="BF337" s="1203"/>
      <c r="BG337" s="1203"/>
      <c r="BH337" s="1063"/>
      <c r="BI337" s="1063"/>
      <c r="BJ337" s="1063"/>
      <c r="BK337" s="1063"/>
      <c r="BL337" s="1063"/>
    </row>
    <row r="338" spans="1:64" ht="15" customHeight="1">
      <c r="A338" s="136"/>
      <c r="B338" s="261">
        <f t="shared" si="26"/>
        <v>11</v>
      </c>
      <c r="C338" s="262" t="s">
        <v>35</v>
      </c>
      <c r="D338" s="263">
        <f t="shared" si="30"/>
        <v>12</v>
      </c>
      <c r="E338" s="909">
        <f t="shared" si="22"/>
        <v>1</v>
      </c>
      <c r="F338" s="909"/>
      <c r="G338" s="910">
        <f t="shared" si="23"/>
        <v>6.4</v>
      </c>
      <c r="H338" s="910"/>
      <c r="I338" s="910"/>
      <c r="J338" s="912">
        <f t="shared" si="24"/>
        <v>30500</v>
      </c>
      <c r="K338" s="912"/>
      <c r="L338" s="912"/>
      <c r="M338" s="906">
        <f t="shared" si="25"/>
        <v>0.41269841269841273</v>
      </c>
      <c r="N338" s="906"/>
      <c r="O338" s="907">
        <f t="shared" si="27"/>
        <v>1.3499999999999999E-5</v>
      </c>
      <c r="P338" s="907"/>
      <c r="Q338" s="908"/>
      <c r="S338" s="264"/>
      <c r="T338" s="264"/>
      <c r="U338" s="264"/>
      <c r="V338" s="264"/>
      <c r="X338" s="264"/>
      <c r="Y338" s="264"/>
      <c r="Z338" s="264"/>
      <c r="AD338" s="41">
        <f t="shared" si="28"/>
        <v>17</v>
      </c>
      <c r="AE338" s="24" t="s">
        <v>35</v>
      </c>
      <c r="AF338" s="35">
        <v>18</v>
      </c>
      <c r="AG338" s="865">
        <f t="shared" si="29"/>
        <v>1</v>
      </c>
      <c r="AH338" s="866"/>
      <c r="AI338" s="26">
        <f t="shared" si="18"/>
        <v>70000</v>
      </c>
      <c r="AJ338" s="265"/>
      <c r="AK338" s="36">
        <f t="shared" si="16"/>
        <v>0.17460317460317457</v>
      </c>
      <c r="AL338" s="1677">
        <f t="shared" si="21"/>
        <v>2.4943310657596368E-6</v>
      </c>
      <c r="AM338" s="1678"/>
      <c r="AN338" s="1679"/>
      <c r="AO338" s="1680"/>
      <c r="AQ338" s="28">
        <f>SUM(AG$321:AH337)+(AG338/2)</f>
        <v>12.4</v>
      </c>
      <c r="AR338" s="57"/>
      <c r="AS338" s="871">
        <v>18</v>
      </c>
      <c r="AT338" s="871"/>
      <c r="AU338" s="1606">
        <f t="shared" si="19"/>
        <v>125</v>
      </c>
      <c r="AV338" s="1607"/>
      <c r="AX338" s="1153"/>
      <c r="AY338" s="1153"/>
      <c r="AZ338" s="1153"/>
      <c r="BA338" s="1153"/>
      <c r="BB338" s="1153"/>
      <c r="BC338" s="1063"/>
      <c r="BD338" s="1063"/>
      <c r="BE338" s="1063"/>
      <c r="BF338" s="1063"/>
      <c r="BG338" s="1063"/>
      <c r="BH338" s="1063"/>
      <c r="BI338" s="1063"/>
      <c r="BJ338" s="1063"/>
      <c r="BK338" s="1063"/>
      <c r="BL338" s="1063"/>
    </row>
    <row r="339" spans="1:64" ht="15" customHeight="1">
      <c r="A339" s="136"/>
      <c r="B339" s="261">
        <f t="shared" si="26"/>
        <v>12</v>
      </c>
      <c r="C339" s="262" t="s">
        <v>35</v>
      </c>
      <c r="D339" s="263">
        <f t="shared" si="30"/>
        <v>13</v>
      </c>
      <c r="E339" s="909">
        <f t="shared" si="22"/>
        <v>1</v>
      </c>
      <c r="F339" s="909"/>
      <c r="G339" s="910">
        <f t="shared" si="23"/>
        <v>7.4</v>
      </c>
      <c r="H339" s="910"/>
      <c r="I339" s="910"/>
      <c r="J339" s="912">
        <f t="shared" si="24"/>
        <v>31000</v>
      </c>
      <c r="K339" s="912"/>
      <c r="L339" s="912"/>
      <c r="M339" s="906">
        <f t="shared" si="25"/>
        <v>0.37301587301587302</v>
      </c>
      <c r="N339" s="906"/>
      <c r="O339" s="907">
        <f t="shared" si="27"/>
        <v>1.2E-5</v>
      </c>
      <c r="P339" s="907"/>
      <c r="Q339" s="908"/>
      <c r="S339" s="264"/>
      <c r="T339" s="264"/>
      <c r="U339" s="264"/>
      <c r="V339" s="264"/>
      <c r="X339" s="264"/>
      <c r="Y339" s="264"/>
      <c r="Z339" s="264"/>
      <c r="AD339" s="41">
        <f t="shared" si="28"/>
        <v>18</v>
      </c>
      <c r="AE339" s="24" t="s">
        <v>35</v>
      </c>
      <c r="AF339" s="35">
        <v>19</v>
      </c>
      <c r="AG339" s="865">
        <f t="shared" si="29"/>
        <v>1</v>
      </c>
      <c r="AH339" s="866"/>
      <c r="AI339" s="26">
        <f t="shared" si="18"/>
        <v>70000</v>
      </c>
      <c r="AJ339" s="265"/>
      <c r="AK339" s="36">
        <f t="shared" si="16"/>
        <v>0.13492063492063497</v>
      </c>
      <c r="AL339" s="1677">
        <f t="shared" si="21"/>
        <v>1.9274376417233568E-6</v>
      </c>
      <c r="AM339" s="1678"/>
      <c r="AN339" s="1679"/>
      <c r="AO339" s="1680"/>
      <c r="AQ339" s="28">
        <f>SUM(AG$321:AH338)+(AG339/2)</f>
        <v>13.4</v>
      </c>
      <c r="AR339" s="57"/>
      <c r="AS339" s="871">
        <v>19</v>
      </c>
      <c r="AT339" s="871"/>
      <c r="AU339" s="1606">
        <f t="shared" si="19"/>
        <v>125</v>
      </c>
      <c r="AV339" s="1607"/>
      <c r="AX339" s="1153"/>
      <c r="AY339" s="1153"/>
      <c r="AZ339" s="1153"/>
      <c r="BA339" s="1153"/>
      <c r="BB339" s="1153"/>
      <c r="BC339" s="1191"/>
      <c r="BD339" s="1191"/>
      <c r="BE339" s="1191"/>
      <c r="BF339" s="1191"/>
      <c r="BG339" s="1191"/>
      <c r="BH339" s="1063"/>
      <c r="BI339" s="1063"/>
      <c r="BJ339" s="1063"/>
      <c r="BK339" s="1063"/>
      <c r="BL339" s="1063"/>
    </row>
    <row r="340" spans="1:64" ht="15" customHeight="1">
      <c r="A340" s="136"/>
      <c r="B340" s="261">
        <f t="shared" si="26"/>
        <v>13</v>
      </c>
      <c r="C340" s="262" t="s">
        <v>35</v>
      </c>
      <c r="D340" s="263">
        <f t="shared" si="30"/>
        <v>14</v>
      </c>
      <c r="E340" s="909">
        <f t="shared" si="22"/>
        <v>1</v>
      </c>
      <c r="F340" s="909"/>
      <c r="G340" s="910">
        <f t="shared" si="23"/>
        <v>8.4</v>
      </c>
      <c r="H340" s="910"/>
      <c r="I340" s="910"/>
      <c r="J340" s="912">
        <f t="shared" si="24"/>
        <v>33000</v>
      </c>
      <c r="K340" s="912"/>
      <c r="L340" s="912"/>
      <c r="M340" s="906">
        <f t="shared" si="25"/>
        <v>0.33333333333333331</v>
      </c>
      <c r="N340" s="906"/>
      <c r="O340" s="907">
        <f t="shared" si="27"/>
        <v>1.01E-5</v>
      </c>
      <c r="P340" s="907"/>
      <c r="Q340" s="908"/>
      <c r="S340" s="264"/>
      <c r="T340" s="264"/>
      <c r="U340" s="264"/>
      <c r="V340" s="264"/>
      <c r="X340" s="264"/>
      <c r="Y340" s="264"/>
      <c r="Z340" s="264"/>
      <c r="AD340" s="41">
        <f t="shared" si="28"/>
        <v>19</v>
      </c>
      <c r="AE340" s="24" t="s">
        <v>35</v>
      </c>
      <c r="AF340" s="35">
        <v>20</v>
      </c>
      <c r="AG340" s="865">
        <f t="shared" si="29"/>
        <v>1</v>
      </c>
      <c r="AH340" s="866"/>
      <c r="AI340" s="26">
        <f t="shared" si="18"/>
        <v>114500</v>
      </c>
      <c r="AJ340" s="265"/>
      <c r="AK340" s="36">
        <f t="shared" si="16"/>
        <v>9.5238095238095274E-2</v>
      </c>
      <c r="AL340" s="1677">
        <f t="shared" si="21"/>
        <v>8.3177375753795E-7</v>
      </c>
      <c r="AM340" s="1678"/>
      <c r="AN340" s="1679"/>
      <c r="AO340" s="1680"/>
      <c r="AQ340" s="28">
        <f>SUM(AG$321:AH339)+(AG340/2)</f>
        <v>14.4</v>
      </c>
      <c r="AR340" s="57"/>
      <c r="AS340" s="871">
        <v>20</v>
      </c>
      <c r="AT340" s="871"/>
      <c r="AU340" s="1606">
        <f t="shared" si="19"/>
        <v>214</v>
      </c>
      <c r="AV340" s="1607"/>
      <c r="AX340" s="1153"/>
      <c r="AY340" s="1153"/>
      <c r="AZ340" s="1153"/>
      <c r="BA340" s="1153"/>
      <c r="BB340" s="1153"/>
      <c r="BC340" s="1063"/>
      <c r="BD340" s="1063"/>
      <c r="BE340" s="1063"/>
      <c r="BF340" s="1063"/>
      <c r="BG340" s="1063"/>
      <c r="BH340" s="1063"/>
      <c r="BI340" s="1063"/>
      <c r="BJ340" s="1063"/>
      <c r="BK340" s="1063"/>
      <c r="BL340" s="1063"/>
    </row>
    <row r="341" spans="1:64" ht="15" customHeight="1">
      <c r="A341" s="136"/>
      <c r="B341" s="261">
        <f t="shared" si="26"/>
        <v>14</v>
      </c>
      <c r="C341" s="262" t="s">
        <v>35</v>
      </c>
      <c r="D341" s="263">
        <f t="shared" si="30"/>
        <v>15</v>
      </c>
      <c r="E341" s="909">
        <f t="shared" si="22"/>
        <v>1</v>
      </c>
      <c r="F341" s="909"/>
      <c r="G341" s="910">
        <f t="shared" si="23"/>
        <v>9.4</v>
      </c>
      <c r="H341" s="910"/>
      <c r="I341" s="910"/>
      <c r="J341" s="912">
        <f t="shared" si="24"/>
        <v>36000</v>
      </c>
      <c r="K341" s="912"/>
      <c r="L341" s="912"/>
      <c r="M341" s="906">
        <f t="shared" si="25"/>
        <v>0.29365079365079366</v>
      </c>
      <c r="N341" s="906"/>
      <c r="O341" s="907">
        <f t="shared" si="27"/>
        <v>8.1999999999999994E-6</v>
      </c>
      <c r="P341" s="907"/>
      <c r="Q341" s="908"/>
      <c r="S341" s="264"/>
      <c r="T341" s="264"/>
      <c r="U341" s="264"/>
      <c r="V341" s="264"/>
      <c r="X341" s="264"/>
      <c r="Y341" s="264"/>
      <c r="Z341" s="264"/>
      <c r="AD341" s="41">
        <f t="shared" si="28"/>
        <v>20</v>
      </c>
      <c r="AE341" s="24" t="s">
        <v>35</v>
      </c>
      <c r="AF341" s="35">
        <v>21</v>
      </c>
      <c r="AG341" s="865">
        <f t="shared" si="29"/>
        <v>1</v>
      </c>
      <c r="AH341" s="866"/>
      <c r="AI341" s="26">
        <f t="shared" si="18"/>
        <v>264000</v>
      </c>
      <c r="AJ341" s="265"/>
      <c r="AK341" s="36">
        <f t="shared" si="16"/>
        <v>5.555555555555558E-2</v>
      </c>
      <c r="AL341" s="1677">
        <f t="shared" si="21"/>
        <v>2.1043771043771052E-7</v>
      </c>
      <c r="AM341" s="1678"/>
      <c r="AN341" s="1679"/>
      <c r="AO341" s="1680"/>
      <c r="AQ341" s="28">
        <f>SUM($AG$321:AH340)+(AG341/2)</f>
        <v>15.4</v>
      </c>
      <c r="AR341" s="57"/>
      <c r="AS341" s="871">
        <v>21</v>
      </c>
      <c r="AT341" s="871"/>
      <c r="AU341" s="1606">
        <f t="shared" si="19"/>
        <v>214</v>
      </c>
      <c r="AV341" s="1607"/>
      <c r="AX341" s="1153"/>
      <c r="AY341" s="1153"/>
      <c r="AZ341" s="1153"/>
      <c r="BA341" s="1153"/>
      <c r="BB341" s="1153"/>
      <c r="BC341" s="1063"/>
      <c r="BD341" s="1063"/>
      <c r="BE341" s="1063"/>
      <c r="BF341" s="1063"/>
      <c r="BG341" s="1063"/>
      <c r="BH341" s="1063"/>
      <c r="BI341" s="1063"/>
      <c r="BJ341" s="1063"/>
      <c r="BK341" s="1063"/>
      <c r="BL341" s="1063"/>
    </row>
    <row r="342" spans="1:64" ht="21.75" customHeight="1">
      <c r="A342" s="136"/>
      <c r="B342" s="261">
        <f t="shared" si="26"/>
        <v>15</v>
      </c>
      <c r="C342" s="262" t="s">
        <v>35</v>
      </c>
      <c r="D342" s="263">
        <f t="shared" si="30"/>
        <v>16</v>
      </c>
      <c r="E342" s="909">
        <f t="shared" si="22"/>
        <v>1</v>
      </c>
      <c r="F342" s="909"/>
      <c r="G342" s="910">
        <f t="shared" si="23"/>
        <v>10.4</v>
      </c>
      <c r="H342" s="910"/>
      <c r="I342" s="910"/>
      <c r="J342" s="912">
        <f t="shared" si="24"/>
        <v>49000</v>
      </c>
      <c r="K342" s="912"/>
      <c r="L342" s="912"/>
      <c r="M342" s="906">
        <f t="shared" si="25"/>
        <v>0.25396825396825395</v>
      </c>
      <c r="N342" s="906"/>
      <c r="O342" s="907">
        <f t="shared" si="27"/>
        <v>5.2000000000000002E-6</v>
      </c>
      <c r="P342" s="907"/>
      <c r="Q342" s="908"/>
      <c r="S342" s="264"/>
      <c r="T342" s="264"/>
      <c r="U342" s="264"/>
      <c r="V342" s="264"/>
      <c r="X342" s="264"/>
      <c r="Y342" s="264"/>
      <c r="Z342" s="264"/>
      <c r="AD342" s="41">
        <f t="shared" si="28"/>
        <v>21</v>
      </c>
      <c r="AE342" s="24" t="s">
        <v>35</v>
      </c>
      <c r="AF342" s="35">
        <v>22</v>
      </c>
      <c r="AG342" s="865">
        <f t="shared" si="29"/>
        <v>1</v>
      </c>
      <c r="AH342" s="866"/>
      <c r="AI342" s="26">
        <f t="shared" si="18"/>
        <v>264000</v>
      </c>
      <c r="AJ342" s="265"/>
      <c r="AK342" s="36">
        <f t="shared" si="16"/>
        <v>1.5873015873015966E-2</v>
      </c>
      <c r="AL342" s="1677">
        <f t="shared" si="21"/>
        <v>6.0125060125060481E-8</v>
      </c>
      <c r="AM342" s="1678"/>
      <c r="AN342" s="1679"/>
      <c r="AO342" s="1680"/>
      <c r="AQ342" s="28">
        <f>SUM($AG$321:AH341)+(AG342/2)</f>
        <v>16.399999999999999</v>
      </c>
      <c r="AR342" s="57"/>
      <c r="AS342" s="871">
        <v>22</v>
      </c>
      <c r="AT342" s="871"/>
      <c r="AU342" s="1606">
        <f t="shared" si="19"/>
        <v>214</v>
      </c>
      <c r="AV342" s="1607"/>
      <c r="AX342" s="1153"/>
      <c r="AY342" s="1153"/>
      <c r="AZ342" s="1153"/>
      <c r="BA342" s="1153"/>
      <c r="BB342" s="1153"/>
      <c r="BC342" s="1203"/>
      <c r="BD342" s="1203"/>
      <c r="BE342" s="1203"/>
      <c r="BF342" s="1203"/>
      <c r="BG342" s="1203"/>
      <c r="BH342" s="1063"/>
      <c r="BI342" s="1063"/>
      <c r="BJ342" s="1063"/>
      <c r="BK342" s="1063"/>
      <c r="BL342" s="1063"/>
    </row>
    <row r="343" spans="1:64" ht="18.75" customHeight="1">
      <c r="A343" s="136"/>
      <c r="B343" s="261">
        <f t="shared" si="26"/>
        <v>16</v>
      </c>
      <c r="C343" s="262" t="s">
        <v>35</v>
      </c>
      <c r="D343" s="263">
        <f t="shared" si="30"/>
        <v>17</v>
      </c>
      <c r="E343" s="909">
        <f t="shared" si="22"/>
        <v>1</v>
      </c>
      <c r="F343" s="909"/>
      <c r="G343" s="910">
        <f t="shared" si="23"/>
        <v>11.4</v>
      </c>
      <c r="H343" s="910"/>
      <c r="I343" s="910"/>
      <c r="J343" s="912">
        <f t="shared" si="24"/>
        <v>54000</v>
      </c>
      <c r="K343" s="912"/>
      <c r="L343" s="912"/>
      <c r="M343" s="906">
        <f t="shared" si="25"/>
        <v>0.21428571428571427</v>
      </c>
      <c r="N343" s="906"/>
      <c r="O343" s="907">
        <f t="shared" si="27"/>
        <v>3.9999999999999998E-6</v>
      </c>
      <c r="P343" s="907"/>
      <c r="Q343" s="908"/>
      <c r="S343" s="264"/>
      <c r="T343" s="264"/>
      <c r="U343" s="264"/>
      <c r="V343" s="264"/>
      <c r="X343" s="264"/>
      <c r="Y343" s="264"/>
      <c r="Z343" s="264"/>
      <c r="AD343" s="41">
        <f t="shared" si="28"/>
        <v>22</v>
      </c>
      <c r="AE343" s="24" t="s">
        <v>35</v>
      </c>
      <c r="AF343" s="35"/>
      <c r="AG343" s="865"/>
      <c r="AH343" s="866"/>
      <c r="AI343" s="26"/>
      <c r="AJ343" s="265"/>
      <c r="AK343" s="36"/>
      <c r="AL343" s="1677"/>
      <c r="AM343" s="1678"/>
      <c r="AN343" s="1679"/>
      <c r="AO343" s="1680"/>
      <c r="AQ343" s="28">
        <f>SUM($AG$321:AH342)+(AG343/2)</f>
        <v>16.899999999999999</v>
      </c>
      <c r="AR343" s="57"/>
      <c r="AS343" s="871">
        <v>23</v>
      </c>
      <c r="AT343" s="871"/>
      <c r="AU343" s="1606">
        <f t="shared" si="19"/>
        <v>0</v>
      </c>
      <c r="AV343" s="1607"/>
      <c r="AX343" s="1153"/>
      <c r="AY343" s="1153"/>
      <c r="AZ343" s="1153"/>
      <c r="BA343" s="1153"/>
      <c r="BB343" s="1153"/>
      <c r="BC343" s="1191"/>
      <c r="BD343" s="1191"/>
      <c r="BE343" s="1191"/>
      <c r="BF343" s="1191"/>
      <c r="BG343" s="1191"/>
      <c r="BH343" s="1063"/>
      <c r="BI343" s="1063"/>
      <c r="BJ343" s="1063"/>
      <c r="BK343" s="1063"/>
      <c r="BL343" s="1063"/>
    </row>
    <row r="344" spans="1:64" ht="18.75" customHeight="1">
      <c r="A344" s="136"/>
      <c r="B344" s="261">
        <f t="shared" si="26"/>
        <v>17</v>
      </c>
      <c r="C344" s="262" t="s">
        <v>35</v>
      </c>
      <c r="D344" s="263">
        <f t="shared" si="30"/>
        <v>18</v>
      </c>
      <c r="E344" s="909">
        <f t="shared" si="22"/>
        <v>1</v>
      </c>
      <c r="F344" s="909"/>
      <c r="G344" s="910">
        <f t="shared" si="23"/>
        <v>12.4</v>
      </c>
      <c r="H344" s="910"/>
      <c r="I344" s="910"/>
      <c r="J344" s="912">
        <f t="shared" si="24"/>
        <v>70000</v>
      </c>
      <c r="K344" s="912"/>
      <c r="L344" s="912"/>
      <c r="M344" s="906">
        <f t="shared" si="25"/>
        <v>0.17460317460317457</v>
      </c>
      <c r="N344" s="906"/>
      <c r="O344" s="907">
        <f t="shared" si="27"/>
        <v>2.5000000000000002E-6</v>
      </c>
      <c r="P344" s="907"/>
      <c r="Q344" s="908"/>
      <c r="S344" s="264"/>
      <c r="T344" s="264"/>
      <c r="U344" s="264"/>
      <c r="V344" s="264"/>
      <c r="X344" s="264"/>
      <c r="Y344" s="264"/>
      <c r="Z344" s="264"/>
      <c r="AD344" s="41">
        <f t="shared" si="28"/>
        <v>0</v>
      </c>
      <c r="AE344" s="24" t="s">
        <v>35</v>
      </c>
      <c r="AF344" s="35"/>
      <c r="AG344" s="865"/>
      <c r="AH344" s="866"/>
      <c r="AI344" s="26"/>
      <c r="AJ344" s="265"/>
      <c r="AK344" s="36"/>
      <c r="AL344" s="1677"/>
      <c r="AM344" s="1678"/>
      <c r="AN344" s="1679"/>
      <c r="AO344" s="1680"/>
      <c r="AQ344" s="28">
        <f>SUM($AG$321:AH343)+(AG344/2)</f>
        <v>16.899999999999999</v>
      </c>
      <c r="AR344" s="57"/>
      <c r="AS344" s="871">
        <v>24</v>
      </c>
      <c r="AT344" s="871"/>
      <c r="AU344" s="1606">
        <f t="shared" si="19"/>
        <v>0</v>
      </c>
      <c r="AV344" s="1607"/>
      <c r="AX344" s="1153"/>
      <c r="AY344" s="1153"/>
      <c r="AZ344" s="1153"/>
      <c r="BA344" s="1153"/>
      <c r="BB344" s="1153"/>
      <c r="BC344" s="1191"/>
      <c r="BD344" s="1191"/>
      <c r="BE344" s="1191"/>
      <c r="BF344" s="1191"/>
      <c r="BG344" s="1191"/>
      <c r="BH344" s="1063"/>
      <c r="BI344" s="1063"/>
      <c r="BJ344" s="1063"/>
      <c r="BK344" s="1063"/>
      <c r="BL344" s="1063"/>
    </row>
    <row r="345" spans="1:64" ht="18.75" customHeight="1">
      <c r="A345" s="136"/>
      <c r="B345" s="261">
        <f t="shared" si="26"/>
        <v>18</v>
      </c>
      <c r="C345" s="262" t="s">
        <v>35</v>
      </c>
      <c r="D345" s="263">
        <f t="shared" si="30"/>
        <v>19</v>
      </c>
      <c r="E345" s="909">
        <f t="shared" si="22"/>
        <v>1</v>
      </c>
      <c r="F345" s="909"/>
      <c r="G345" s="910">
        <f t="shared" si="23"/>
        <v>13.4</v>
      </c>
      <c r="H345" s="910"/>
      <c r="I345" s="910"/>
      <c r="J345" s="912">
        <f t="shared" si="24"/>
        <v>70000</v>
      </c>
      <c r="K345" s="912"/>
      <c r="L345" s="912"/>
      <c r="M345" s="906">
        <f t="shared" si="25"/>
        <v>0.13492063492063497</v>
      </c>
      <c r="N345" s="906"/>
      <c r="O345" s="907">
        <f t="shared" si="27"/>
        <v>1.9E-6</v>
      </c>
      <c r="P345" s="907"/>
      <c r="Q345" s="908"/>
      <c r="S345" s="264"/>
      <c r="T345" s="264"/>
      <c r="U345" s="264"/>
      <c r="V345" s="264"/>
      <c r="X345" s="264"/>
      <c r="Y345" s="264"/>
      <c r="Z345" s="264"/>
      <c r="AD345" s="41">
        <f t="shared" si="28"/>
        <v>0</v>
      </c>
      <c r="AE345" s="24" t="s">
        <v>35</v>
      </c>
      <c r="AF345" s="35"/>
      <c r="AG345" s="865"/>
      <c r="AH345" s="866"/>
      <c r="AI345" s="26"/>
      <c r="AJ345" s="265"/>
      <c r="AK345" s="36"/>
      <c r="AL345" s="1677"/>
      <c r="AM345" s="1678"/>
      <c r="AN345" s="1679"/>
      <c r="AO345" s="1680"/>
      <c r="AQ345" s="28">
        <f>SUM($AG$321:AH344)+(AG345/2)</f>
        <v>16.899999999999999</v>
      </c>
      <c r="AR345" s="57"/>
      <c r="AS345" s="871">
        <v>25</v>
      </c>
      <c r="AT345" s="871"/>
      <c r="AU345" s="1606">
        <f t="shared" si="19"/>
        <v>0</v>
      </c>
      <c r="AV345" s="1607"/>
      <c r="AX345" s="1153"/>
      <c r="AY345" s="1153"/>
      <c r="AZ345" s="1153"/>
      <c r="BA345" s="1153"/>
      <c r="BB345" s="1153"/>
      <c r="BC345" s="1191"/>
      <c r="BD345" s="1191"/>
      <c r="BE345" s="1191"/>
      <c r="BF345" s="1191"/>
      <c r="BG345" s="1191"/>
      <c r="BH345" s="1191"/>
      <c r="BI345" s="1191"/>
      <c r="BJ345" s="1191"/>
      <c r="BK345" s="1191"/>
      <c r="BL345" s="1191"/>
    </row>
    <row r="346" spans="1:64" ht="18.75" customHeight="1">
      <c r="A346" s="136"/>
      <c r="B346" s="261">
        <f t="shared" si="26"/>
        <v>19</v>
      </c>
      <c r="C346" s="262" t="s">
        <v>35</v>
      </c>
      <c r="D346" s="263">
        <v>20</v>
      </c>
      <c r="E346" s="909">
        <f t="shared" si="22"/>
        <v>1</v>
      </c>
      <c r="F346" s="909"/>
      <c r="G346" s="910">
        <f t="shared" si="23"/>
        <v>14.4</v>
      </c>
      <c r="H346" s="910"/>
      <c r="I346" s="910"/>
      <c r="J346" s="912">
        <f t="shared" si="24"/>
        <v>114500</v>
      </c>
      <c r="K346" s="912"/>
      <c r="L346" s="912"/>
      <c r="M346" s="906">
        <f t="shared" si="25"/>
        <v>9.5238095238095274E-2</v>
      </c>
      <c r="N346" s="906"/>
      <c r="O346" s="907">
        <f t="shared" si="27"/>
        <v>7.9999999999999996E-7</v>
      </c>
      <c r="P346" s="907"/>
      <c r="Q346" s="908"/>
      <c r="S346" s="264"/>
      <c r="T346" s="264"/>
      <c r="U346" s="264"/>
      <c r="V346" s="264"/>
      <c r="X346" s="264"/>
      <c r="Y346" s="264"/>
      <c r="Z346" s="264"/>
      <c r="AD346" s="41">
        <f t="shared" si="28"/>
        <v>0</v>
      </c>
      <c r="AE346" s="24" t="s">
        <v>35</v>
      </c>
      <c r="AF346" s="35"/>
      <c r="AG346" s="865"/>
      <c r="AH346" s="866"/>
      <c r="AI346" s="26"/>
      <c r="AJ346" s="265"/>
      <c r="AK346" s="36"/>
      <c r="AL346" s="1677"/>
      <c r="AM346" s="1678"/>
      <c r="AN346" s="1679"/>
      <c r="AO346" s="1680"/>
      <c r="AQ346" s="28">
        <f>SUM($AG$321:AH345)+(AG346/2)</f>
        <v>16.899999999999999</v>
      </c>
      <c r="AR346" s="57"/>
      <c r="AS346" s="871">
        <v>26</v>
      </c>
      <c r="AT346" s="871"/>
      <c r="AU346" s="1606">
        <f t="shared" si="19"/>
        <v>0</v>
      </c>
      <c r="AV346" s="1607"/>
      <c r="AX346" s="1153"/>
      <c r="AY346" s="1153"/>
      <c r="AZ346" s="1153"/>
      <c r="BA346" s="1153"/>
      <c r="BB346" s="1153"/>
      <c r="BC346" s="1191"/>
      <c r="BD346" s="1191"/>
      <c r="BE346" s="1191"/>
      <c r="BF346" s="1191"/>
      <c r="BG346" s="1191"/>
      <c r="BH346" s="1063"/>
      <c r="BI346" s="1063"/>
      <c r="BJ346" s="1063"/>
      <c r="BK346" s="1063"/>
      <c r="BL346" s="1063"/>
    </row>
    <row r="347" spans="1:64" ht="18.75" customHeight="1">
      <c r="A347" s="136"/>
      <c r="B347" s="261">
        <f t="shared" si="26"/>
        <v>20</v>
      </c>
      <c r="C347" s="262" t="s">
        <v>35</v>
      </c>
      <c r="D347" s="263">
        <v>21</v>
      </c>
      <c r="E347" s="909">
        <f t="shared" si="22"/>
        <v>1</v>
      </c>
      <c r="F347" s="909"/>
      <c r="G347" s="910">
        <f t="shared" si="23"/>
        <v>15.4</v>
      </c>
      <c r="H347" s="910"/>
      <c r="I347" s="910"/>
      <c r="J347" s="912">
        <f t="shared" si="24"/>
        <v>264000</v>
      </c>
      <c r="K347" s="912"/>
      <c r="L347" s="912"/>
      <c r="M347" s="906">
        <f t="shared" si="25"/>
        <v>5.555555555555558E-2</v>
      </c>
      <c r="N347" s="906"/>
      <c r="O347" s="907">
        <f t="shared" si="27"/>
        <v>1.9999999999999999E-7</v>
      </c>
      <c r="P347" s="907"/>
      <c r="Q347" s="908"/>
      <c r="S347" s="264"/>
      <c r="T347" s="264"/>
      <c r="U347" s="264"/>
      <c r="V347" s="264"/>
      <c r="X347" s="264"/>
      <c r="Y347" s="264"/>
      <c r="Z347" s="264"/>
      <c r="AD347" s="64">
        <f>+AF346</f>
        <v>0</v>
      </c>
      <c r="AE347" s="65" t="s">
        <v>96</v>
      </c>
      <c r="AF347" s="66"/>
      <c r="AG347" s="1675"/>
      <c r="AH347" s="1676"/>
      <c r="AI347" s="67"/>
      <c r="AJ347" s="265"/>
      <c r="AK347" s="36"/>
      <c r="AL347" s="1677"/>
      <c r="AM347" s="1678"/>
      <c r="AN347" s="1679"/>
      <c r="AO347" s="1680"/>
      <c r="AQ347" s="28">
        <f>SUM($AG$321:AH346)+(AG347/2)</f>
        <v>16.899999999999999</v>
      </c>
      <c r="AR347" s="57"/>
      <c r="AS347" s="871">
        <v>27</v>
      </c>
      <c r="AT347" s="871"/>
      <c r="AU347" s="1606">
        <f t="shared" si="19"/>
        <v>0</v>
      </c>
      <c r="AV347" s="1607"/>
      <c r="AX347" s="1153"/>
      <c r="AY347" s="1153"/>
      <c r="AZ347" s="1153"/>
      <c r="BA347" s="1153"/>
      <c r="BB347" s="1153"/>
      <c r="BC347" s="1191"/>
      <c r="BD347" s="1191"/>
      <c r="BE347" s="1191"/>
      <c r="BF347" s="1191"/>
      <c r="BG347" s="1191"/>
      <c r="BH347" s="1191"/>
      <c r="BI347" s="1191"/>
      <c r="BJ347" s="1191"/>
      <c r="BK347" s="1191"/>
      <c r="BL347" s="1191"/>
    </row>
    <row r="348" spans="1:64" ht="18.75" customHeight="1">
      <c r="A348" s="136"/>
      <c r="B348" s="261">
        <f t="shared" si="26"/>
        <v>21</v>
      </c>
      <c r="C348" s="262" t="s">
        <v>35</v>
      </c>
      <c r="D348" s="263">
        <v>22</v>
      </c>
      <c r="E348" s="909">
        <f t="shared" si="22"/>
        <v>1</v>
      </c>
      <c r="F348" s="909"/>
      <c r="G348" s="910">
        <f t="shared" si="23"/>
        <v>16.399999999999999</v>
      </c>
      <c r="H348" s="910"/>
      <c r="I348" s="910"/>
      <c r="J348" s="912">
        <f t="shared" si="24"/>
        <v>264000</v>
      </c>
      <c r="K348" s="912"/>
      <c r="L348" s="912"/>
      <c r="M348" s="906">
        <f t="shared" si="25"/>
        <v>1.5873015873015966E-2</v>
      </c>
      <c r="N348" s="906"/>
      <c r="O348" s="907">
        <f t="shared" si="27"/>
        <v>9.9999999999999995E-8</v>
      </c>
      <c r="P348" s="907"/>
      <c r="Q348" s="908"/>
      <c r="S348" s="264"/>
      <c r="T348" s="264"/>
      <c r="U348" s="264"/>
      <c r="V348" s="264"/>
      <c r="X348" s="264"/>
      <c r="Y348" s="264"/>
      <c r="Z348" s="264"/>
      <c r="AG348" s="68"/>
      <c r="AH348" s="68"/>
      <c r="AI348" s="69"/>
      <c r="AJ348" s="70"/>
      <c r="AK348" s="71" t="s">
        <v>97</v>
      </c>
      <c r="AL348" s="1673">
        <f>SUM(AL321:AM346)</f>
        <v>1.677402678916389E-4</v>
      </c>
      <c r="AM348" s="1674"/>
      <c r="AN348" s="1671"/>
      <c r="AO348" s="1672"/>
    </row>
    <row r="349" spans="1:64" ht="18.75" customHeight="1">
      <c r="A349" s="136"/>
      <c r="B349" s="261"/>
      <c r="C349" s="262" t="s">
        <v>35</v>
      </c>
      <c r="D349" s="263"/>
      <c r="E349" s="909"/>
      <c r="F349" s="909"/>
      <c r="G349" s="910"/>
      <c r="H349" s="910"/>
      <c r="I349" s="910"/>
      <c r="J349" s="912"/>
      <c r="K349" s="912"/>
      <c r="L349" s="912"/>
      <c r="M349" s="906"/>
      <c r="N349" s="906"/>
      <c r="O349" s="907"/>
      <c r="P349" s="907"/>
      <c r="Q349" s="908"/>
      <c r="S349" s="264"/>
      <c r="T349" s="264"/>
      <c r="U349" s="264"/>
      <c r="V349" s="264"/>
      <c r="X349" s="264"/>
      <c r="Y349" s="264"/>
      <c r="Z349" s="264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X349" s="3"/>
      <c r="AY349" s="3"/>
      <c r="AZ349" s="5"/>
      <c r="BA349" s="5"/>
    </row>
    <row r="350" spans="1:64" ht="18.75" customHeight="1">
      <c r="A350" s="136"/>
      <c r="B350" s="261"/>
      <c r="C350" s="262"/>
      <c r="D350" s="263"/>
      <c r="E350" s="909"/>
      <c r="F350" s="909"/>
      <c r="G350" s="910"/>
      <c r="H350" s="910"/>
      <c r="I350" s="910"/>
      <c r="J350" s="912"/>
      <c r="K350" s="912"/>
      <c r="L350" s="912"/>
      <c r="M350" s="906"/>
      <c r="N350" s="906"/>
      <c r="O350" s="907"/>
      <c r="P350" s="907"/>
      <c r="Q350" s="908"/>
      <c r="S350" s="264"/>
      <c r="T350" s="264"/>
      <c r="U350" s="264"/>
      <c r="V350" s="264"/>
      <c r="X350" s="264"/>
      <c r="Y350" s="264"/>
      <c r="Z350" s="264"/>
      <c r="AD350" s="11"/>
      <c r="AE350" s="12"/>
      <c r="AF350" s="13"/>
      <c r="AS350" s="14"/>
      <c r="AT350" s="13"/>
      <c r="AU350" s="13"/>
      <c r="AV350" s="13"/>
      <c r="AW350" s="13"/>
      <c r="AX350" s="15"/>
      <c r="AY350" s="16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</row>
    <row r="351" spans="1:64" ht="18.75" customHeight="1" thickBot="1">
      <c r="A351" s="136"/>
      <c r="B351" s="266"/>
      <c r="C351" s="267"/>
      <c r="D351" s="268"/>
      <c r="E351" s="1665"/>
      <c r="F351" s="1665"/>
      <c r="G351" s="1666"/>
      <c r="H351" s="1666"/>
      <c r="I351" s="1666"/>
      <c r="J351" s="1667"/>
      <c r="K351" s="1667"/>
      <c r="L351" s="1667"/>
      <c r="M351" s="1668"/>
      <c r="N351" s="1668"/>
      <c r="O351" s="1669"/>
      <c r="P351" s="1669"/>
      <c r="Q351" s="1670"/>
      <c r="S351" s="269"/>
      <c r="T351" s="269"/>
      <c r="U351" s="269"/>
      <c r="V351" s="269"/>
      <c r="X351" s="269"/>
      <c r="Y351" s="269"/>
      <c r="Z351" s="269"/>
      <c r="AH351" s="3" t="s">
        <v>299</v>
      </c>
      <c r="AK351" s="3" t="s">
        <v>300</v>
      </c>
      <c r="BH351" s="1153"/>
      <c r="BI351" s="1153"/>
      <c r="BJ351" s="1153"/>
      <c r="BK351" s="1153"/>
      <c r="BL351" s="1153"/>
    </row>
    <row r="352" spans="1:64" ht="18.75" customHeight="1" thickTop="1" thickBot="1">
      <c r="A352" s="136"/>
      <c r="B352" s="270"/>
      <c r="C352" s="271"/>
      <c r="D352" s="272"/>
      <c r="E352" s="1388"/>
      <c r="F352" s="1388"/>
      <c r="G352" s="1370"/>
      <c r="H352" s="1370"/>
      <c r="I352" s="1370"/>
      <c r="J352" s="1371"/>
      <c r="K352" s="1371"/>
      <c r="L352" s="1371"/>
      <c r="M352" s="1372" t="s">
        <v>301</v>
      </c>
      <c r="N352" s="1372"/>
      <c r="O352" s="1373">
        <f>SUM(O327:Q351)</f>
        <v>1.4439999999999999E-4</v>
      </c>
      <c r="P352" s="1373">
        <f>SUM(P327:V351)</f>
        <v>0</v>
      </c>
      <c r="Q352" s="1374"/>
      <c r="S352" s="273"/>
      <c r="T352" s="273"/>
      <c r="U352" s="273"/>
      <c r="V352" s="273"/>
      <c r="X352" s="273"/>
      <c r="Y352" s="273"/>
      <c r="Z352" s="273"/>
      <c r="AH352" s="3" t="s">
        <v>302</v>
      </c>
      <c r="AK352" s="3" t="s">
        <v>303</v>
      </c>
      <c r="AW352" s="5"/>
      <c r="BH352" s="1191"/>
      <c r="BI352" s="1191"/>
      <c r="BJ352" s="1191"/>
      <c r="BK352" s="1191"/>
      <c r="BL352" s="1191"/>
    </row>
    <row r="353" spans="1:65" ht="18.75" customHeight="1" thickTop="1">
      <c r="A353" s="136"/>
      <c r="B353" s="159"/>
      <c r="C353" s="159"/>
      <c r="D353" s="159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258"/>
      <c r="R353" s="258"/>
      <c r="S353" s="258"/>
      <c r="T353" s="258"/>
      <c r="U353" s="258"/>
      <c r="V353" s="258"/>
      <c r="W353" s="258"/>
      <c r="X353" s="252"/>
      <c r="Y353" s="252"/>
      <c r="AD353" s="145" t="s">
        <v>304</v>
      </c>
      <c r="AE353" s="145" t="s">
        <v>305</v>
      </c>
      <c r="AT353" s="274"/>
      <c r="AW353" s="275"/>
      <c r="BH353" s="1063"/>
      <c r="BI353" s="1063"/>
      <c r="BJ353" s="1063"/>
      <c r="BK353" s="1063"/>
      <c r="BL353" s="1063"/>
    </row>
    <row r="354" spans="1:65" ht="18.75" customHeight="1">
      <c r="A354" s="136"/>
      <c r="B354" s="136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AC354" s="5"/>
      <c r="AF354" s="276"/>
      <c r="AI354" s="1384">
        <f>+G5/K5</f>
        <v>0.95454545454545447</v>
      </c>
      <c r="AJ354" s="1384"/>
      <c r="AX354" s="3"/>
      <c r="AZ354" s="5"/>
      <c r="BI354" s="1063"/>
      <c r="BJ354" s="1063"/>
      <c r="BK354" s="1063"/>
      <c r="BL354" s="1063"/>
      <c r="BM354" s="1063"/>
    </row>
    <row r="355" spans="1:65" ht="18.75" customHeight="1">
      <c r="A355" s="136"/>
      <c r="B355" s="136"/>
      <c r="C355" s="85" t="s">
        <v>306</v>
      </c>
      <c r="D355" s="85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85"/>
      <c r="AA355" s="85"/>
      <c r="AB355" s="85"/>
      <c r="AC355" s="5"/>
      <c r="AF355" s="277"/>
      <c r="AI355" s="278" t="s">
        <v>307</v>
      </c>
      <c r="AJ355" s="279" t="s">
        <v>308</v>
      </c>
      <c r="AK355" s="279" t="s">
        <v>309</v>
      </c>
      <c r="AL355" s="279" t="s">
        <v>310</v>
      </c>
      <c r="AM355" s="280" t="s">
        <v>311</v>
      </c>
      <c r="AX355" s="3"/>
      <c r="AZ355" s="5"/>
      <c r="BI355" s="1063"/>
      <c r="BJ355" s="1063"/>
      <c r="BK355" s="1063"/>
      <c r="BL355" s="1063"/>
      <c r="BM355" s="1063"/>
    </row>
    <row r="356" spans="1:65" ht="18.75" customHeight="1">
      <c r="A356" s="136"/>
      <c r="B356" s="136"/>
      <c r="C356" s="85"/>
      <c r="D356" s="85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85"/>
      <c r="AA356" s="85"/>
      <c r="AB356" s="85"/>
      <c r="AC356" s="5"/>
      <c r="AF356" s="276"/>
      <c r="AI356" s="281">
        <v>0</v>
      </c>
      <c r="AJ356" s="282">
        <v>0.4</v>
      </c>
      <c r="AK356" s="282">
        <v>0.1</v>
      </c>
      <c r="AL356" s="283">
        <f>SLOPE(AK356:AK357,AJ356:AJ357)</f>
        <v>0.16</v>
      </c>
      <c r="AM356" s="284">
        <f>INTERCEPT(AK356:AK357,AJ356:AJ357)</f>
        <v>3.5999999999999976E-2</v>
      </c>
      <c r="AX356" s="3"/>
      <c r="AZ356" s="5"/>
      <c r="BI356" s="1063"/>
      <c r="BJ356" s="1063"/>
      <c r="BK356" s="1063"/>
      <c r="BL356" s="1063"/>
      <c r="BM356" s="1063"/>
    </row>
    <row r="357" spans="1:65" ht="18.75" customHeight="1">
      <c r="A357" s="136"/>
      <c r="B357" s="136"/>
      <c r="C357" s="85"/>
      <c r="D357" s="85" t="s">
        <v>90</v>
      </c>
      <c r="E357" s="1664">
        <f>(0.5+0.0555*(D321/B321-1))*B321++H321</f>
        <v>9.3222000000000005</v>
      </c>
      <c r="F357" s="1664"/>
      <c r="G357" s="1664"/>
      <c r="H357" s="132" t="s">
        <v>90</v>
      </c>
      <c r="I357" s="132" t="s">
        <v>312</v>
      </c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85"/>
      <c r="AA357" s="85"/>
      <c r="AB357" s="85"/>
      <c r="AC357" s="5"/>
      <c r="AF357" s="276"/>
      <c r="AI357" s="286">
        <v>0.5</v>
      </c>
      <c r="AJ357" s="287">
        <f>AI357*5+AJ356</f>
        <v>2.9</v>
      </c>
      <c r="AK357" s="282">
        <v>0.5</v>
      </c>
      <c r="AL357" s="283">
        <f>SLOPE(AK357:AK358,AJ357:AJ358)</f>
        <v>-3.4965034965034968E-2</v>
      </c>
      <c r="AM357" s="284">
        <f>INTERCEPT(AK357:AK358,AJ357:AJ358)</f>
        <v>0.60139860139860146</v>
      </c>
      <c r="AX357" s="3"/>
      <c r="AZ357" s="5"/>
      <c r="BI357" s="1063"/>
      <c r="BJ357" s="1063"/>
      <c r="BK357" s="1063"/>
      <c r="BL357" s="1063"/>
      <c r="BM357" s="1063"/>
    </row>
    <row r="358" spans="1:65" ht="18.75" customHeight="1">
      <c r="A358" s="136"/>
      <c r="B358" s="136"/>
      <c r="C358" s="85"/>
      <c r="D358" s="85"/>
      <c r="E358" s="285"/>
      <c r="F358" s="285"/>
      <c r="G358" s="285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85"/>
      <c r="AA358" s="85"/>
      <c r="AB358" s="85"/>
      <c r="AC358" s="5"/>
      <c r="AF358" s="276"/>
      <c r="AI358" s="288">
        <v>2</v>
      </c>
      <c r="AJ358" s="289">
        <f>AI358*G5+AJ356</f>
        <v>17.2</v>
      </c>
      <c r="AK358" s="289">
        <v>0</v>
      </c>
      <c r="AL358" s="290"/>
      <c r="AM358" s="291"/>
      <c r="AX358" s="3"/>
      <c r="AZ358" s="5"/>
      <c r="BI358" s="1063"/>
      <c r="BJ358" s="1063"/>
      <c r="BK358" s="1063"/>
      <c r="BL358" s="1063"/>
      <c r="BM358" s="1063"/>
    </row>
    <row r="359" spans="1:65" ht="18.75" customHeight="1">
      <c r="A359" s="136"/>
      <c r="B359" s="136"/>
      <c r="C359" s="85" t="s">
        <v>313</v>
      </c>
      <c r="D359" s="85"/>
      <c r="E359" s="135"/>
      <c r="F359" s="135"/>
      <c r="G359" s="135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85"/>
      <c r="AA359" s="85"/>
      <c r="AB359" s="85"/>
      <c r="AC359" s="5"/>
      <c r="AF359" s="276"/>
      <c r="AI359" s="278" t="s">
        <v>314</v>
      </c>
      <c r="AJ359" s="279" t="s">
        <v>308</v>
      </c>
      <c r="AK359" s="279" t="s">
        <v>309</v>
      </c>
      <c r="AL359" s="292" t="s">
        <v>310</v>
      </c>
      <c r="AM359" s="293" t="s">
        <v>311</v>
      </c>
      <c r="AX359" s="3"/>
      <c r="AZ359" s="5"/>
      <c r="BI359" s="38"/>
      <c r="BJ359" s="38"/>
      <c r="BK359" s="38"/>
      <c r="BL359" s="38"/>
      <c r="BM359" s="38"/>
    </row>
    <row r="360" spans="1:65" ht="15" customHeight="1">
      <c r="A360" s="136"/>
      <c r="B360" s="136"/>
      <c r="C360" s="85"/>
      <c r="D360" s="85"/>
      <c r="E360" s="135"/>
      <c r="F360" s="135"/>
      <c r="G360" s="135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85"/>
      <c r="AA360" s="85"/>
      <c r="AB360" s="85"/>
      <c r="AE360" s="276"/>
      <c r="AI360" s="281">
        <v>0</v>
      </c>
      <c r="AJ360" s="294">
        <v>5.0999999999999996</v>
      </c>
      <c r="AK360" s="295">
        <f>0.0111*AI354+0.0889</f>
        <v>9.9495454545454554E-2</v>
      </c>
      <c r="AL360" s="283">
        <f>SLOPE(AK360:AK361,AJ360:AJ361)</f>
        <v>9.5919791889834682E-2</v>
      </c>
      <c r="AM360" s="284">
        <f>INTERCEPT(AK360:AK361,AJ360:AJ361)</f>
        <v>-0.38969548409270227</v>
      </c>
      <c r="BH360" s="38"/>
      <c r="BI360" s="38"/>
      <c r="BJ360" s="38"/>
      <c r="BK360" s="38"/>
      <c r="BL360" s="38"/>
    </row>
    <row r="361" spans="1:65" ht="15" customHeight="1">
      <c r="A361" s="136"/>
      <c r="B361" s="136"/>
      <c r="C361" s="125" t="s">
        <v>315</v>
      </c>
      <c r="D361" s="125" t="s">
        <v>316</v>
      </c>
      <c r="E361" s="1067" t="s">
        <v>317</v>
      </c>
      <c r="F361" s="1067"/>
      <c r="G361" s="296" t="s">
        <v>249</v>
      </c>
      <c r="H361" s="1067" t="s">
        <v>318</v>
      </c>
      <c r="I361" s="1067"/>
      <c r="J361" s="296" t="s">
        <v>249</v>
      </c>
      <c r="K361" s="1067" t="s">
        <v>319</v>
      </c>
      <c r="L361" s="1067"/>
      <c r="M361" s="296" t="s">
        <v>249</v>
      </c>
      <c r="N361" s="296" t="s">
        <v>320</v>
      </c>
      <c r="O361" s="296" t="s">
        <v>249</v>
      </c>
      <c r="P361" s="296" t="s">
        <v>321</v>
      </c>
      <c r="Q361" s="297" t="s">
        <v>322</v>
      </c>
      <c r="R361" s="296" t="s">
        <v>323</v>
      </c>
      <c r="S361" s="296" t="s">
        <v>324</v>
      </c>
      <c r="T361" s="296" t="s">
        <v>249</v>
      </c>
      <c r="U361" s="1067" t="s">
        <v>325</v>
      </c>
      <c r="V361" s="1067"/>
      <c r="W361" s="125"/>
      <c r="X361" s="125"/>
      <c r="Y361" s="125"/>
      <c r="Z361" s="125"/>
      <c r="AA361" s="125"/>
      <c r="AB361" s="125"/>
      <c r="AE361" s="276"/>
      <c r="AI361" s="298">
        <f>0.0556*AI354+0.444</f>
        <v>0.49707272727272728</v>
      </c>
      <c r="AJ361" s="282">
        <f>AI361*G5+AJ360</f>
        <v>9.2754109090909083</v>
      </c>
      <c r="AK361" s="282">
        <v>0.5</v>
      </c>
      <c r="AL361" s="283">
        <f>SLOPE(AK361:AK362,AJ361:AJ362)</f>
        <v>-3.9873206104457368E-2</v>
      </c>
      <c r="AM361" s="284">
        <f>INTERCEPT(AK361:AK362,AJ361:AJ362)</f>
        <v>0.86984037088171406</v>
      </c>
      <c r="BH361" s="38"/>
      <c r="BI361" s="38"/>
      <c r="BJ361" s="38"/>
      <c r="BK361" s="38"/>
      <c r="BL361" s="38"/>
    </row>
    <row r="362" spans="1:65" ht="15" customHeight="1">
      <c r="A362" s="136"/>
      <c r="B362" s="136"/>
      <c r="C362" s="125"/>
      <c r="D362" s="125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7"/>
      <c r="R362" s="296"/>
      <c r="S362" s="296"/>
      <c r="T362" s="296"/>
      <c r="U362" s="296"/>
      <c r="V362" s="296"/>
      <c r="W362" s="125"/>
      <c r="X362" s="125"/>
      <c r="Y362" s="125"/>
      <c r="Z362" s="125"/>
      <c r="AA362" s="125"/>
      <c r="AB362" s="125"/>
      <c r="AE362" s="276"/>
      <c r="AI362" s="299">
        <f>0.2222*AI354+1.7778</f>
        <v>1.9899</v>
      </c>
      <c r="AJ362" s="289">
        <f>AI362*G5+AJ360</f>
        <v>21.815159999999999</v>
      </c>
      <c r="AK362" s="289">
        <v>0</v>
      </c>
      <c r="AL362" s="290"/>
      <c r="AM362" s="291"/>
      <c r="BH362" s="38"/>
      <c r="BI362" s="38"/>
      <c r="BJ362" s="38"/>
      <c r="BK362" s="38"/>
      <c r="BL362" s="38"/>
    </row>
    <row r="363" spans="1:65" ht="15" customHeight="1">
      <c r="A363" s="136"/>
      <c r="B363" s="136"/>
      <c r="C363" s="125"/>
      <c r="D363" s="125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7"/>
      <c r="R363" s="296"/>
      <c r="S363" s="296"/>
      <c r="T363" s="296"/>
      <c r="U363" s="296"/>
      <c r="V363" s="296"/>
      <c r="W363" s="125"/>
      <c r="X363" s="125"/>
      <c r="Y363" s="125"/>
      <c r="Z363" s="125"/>
      <c r="AA363" s="125"/>
      <c r="AB363" s="125"/>
      <c r="AE363" s="276"/>
      <c r="AI363" s="278" t="s">
        <v>326</v>
      </c>
      <c r="AJ363" s="279" t="s">
        <v>308</v>
      </c>
      <c r="AK363" s="279" t="s">
        <v>309</v>
      </c>
      <c r="AL363" s="292" t="s">
        <v>310</v>
      </c>
      <c r="AM363" s="293" t="s">
        <v>311</v>
      </c>
      <c r="BH363" s="38"/>
      <c r="BI363" s="38"/>
      <c r="BJ363" s="38"/>
      <c r="BK363" s="38"/>
      <c r="BL363" s="38"/>
    </row>
    <row r="364" spans="1:65" ht="15" customHeight="1">
      <c r="A364" s="136"/>
      <c r="B364" s="136"/>
      <c r="C364" s="1376" t="s">
        <v>315</v>
      </c>
      <c r="D364" s="1377" t="s">
        <v>327</v>
      </c>
      <c r="E364" s="1375">
        <f>+T321</f>
        <v>0.5</v>
      </c>
      <c r="F364" s="1375"/>
      <c r="G364" s="1375"/>
      <c r="H364" s="1067" t="s">
        <v>249</v>
      </c>
      <c r="I364" s="1375">
        <f>+U370</f>
        <v>1.3397940008672038</v>
      </c>
      <c r="J364" s="1067" t="s">
        <v>249</v>
      </c>
      <c r="K364" s="1428">
        <f>+K321-Q321</f>
        <v>58.2</v>
      </c>
      <c r="L364" s="1428"/>
      <c r="M364" s="1067" t="s">
        <v>249</v>
      </c>
      <c r="N364" s="1663">
        <f>+O352</f>
        <v>1.4439999999999999E-4</v>
      </c>
      <c r="O364" s="1663"/>
      <c r="P364" s="1429" t="s">
        <v>328</v>
      </c>
      <c r="Q364" s="1429" t="s">
        <v>249</v>
      </c>
      <c r="R364" s="1503">
        <v>1000</v>
      </c>
      <c r="S364" s="1503"/>
      <c r="T364" s="1376" t="s">
        <v>316</v>
      </c>
      <c r="U364" s="1385">
        <f>(E364*I364*N364*K364)*R364</f>
        <v>5.6298679834040239</v>
      </c>
      <c r="V364" s="1385"/>
      <c r="W364" s="1385"/>
      <c r="X364" s="1386" t="s">
        <v>329</v>
      </c>
      <c r="Y364" s="1386"/>
      <c r="AE364" s="276"/>
      <c r="AI364" s="281">
        <v>0</v>
      </c>
      <c r="AJ364" s="282">
        <v>0.4</v>
      </c>
      <c r="AK364" s="282">
        <v>0.2</v>
      </c>
      <c r="AL364" s="283">
        <f>SLOPE(AK364:AK365,AJ364:AJ365)</f>
        <v>3.5714285714285712E-2</v>
      </c>
      <c r="AM364" s="284">
        <f>INTERCEPT(AK364:AK365,AJ364:AJ365)</f>
        <v>0.18571428571428569</v>
      </c>
      <c r="BH364" s="38"/>
      <c r="BI364" s="38"/>
      <c r="BJ364" s="38"/>
      <c r="BK364" s="38"/>
      <c r="BL364" s="38"/>
    </row>
    <row r="365" spans="1:65" ht="15" customHeight="1">
      <c r="A365" s="136"/>
      <c r="B365" s="136"/>
      <c r="C365" s="1376"/>
      <c r="D365" s="1376"/>
      <c r="E365" s="1375"/>
      <c r="F365" s="1375"/>
      <c r="G365" s="1375"/>
      <c r="H365" s="1067" t="s">
        <v>249</v>
      </c>
      <c r="I365" s="1375"/>
      <c r="J365" s="1067" t="s">
        <v>249</v>
      </c>
      <c r="K365" s="1428"/>
      <c r="L365" s="1428"/>
      <c r="M365" s="1067" t="s">
        <v>249</v>
      </c>
      <c r="N365" s="1663"/>
      <c r="O365" s="1663"/>
      <c r="P365" s="1429"/>
      <c r="Q365" s="1429"/>
      <c r="R365" s="1503"/>
      <c r="S365" s="1503"/>
      <c r="T365" s="1376"/>
      <c r="U365" s="1385"/>
      <c r="V365" s="1385"/>
      <c r="W365" s="1385"/>
      <c r="X365" s="1386"/>
      <c r="Y365" s="1386"/>
      <c r="AE365" s="276"/>
      <c r="AI365" s="286">
        <v>1</v>
      </c>
      <c r="AJ365" s="282">
        <f>AI365*G5+AJ364</f>
        <v>8.8000000000000007</v>
      </c>
      <c r="AK365" s="282">
        <v>0.5</v>
      </c>
      <c r="AL365" s="283">
        <f>SLOPE(AK365:AK366,AJ365:AJ366)</f>
        <v>-1.984126984126984E-2</v>
      </c>
      <c r="AM365" s="284">
        <f>INTERCEPT(AK365:AK366,AJ365:AJ366)</f>
        <v>0.67460317460317454</v>
      </c>
      <c r="BH365" s="38"/>
      <c r="BI365" s="38"/>
      <c r="BJ365" s="38"/>
      <c r="BK365" s="38"/>
      <c r="BL365" s="38"/>
    </row>
    <row r="366" spans="1:65" ht="15" customHeight="1">
      <c r="A366" s="136"/>
      <c r="B366" s="136"/>
      <c r="C366" s="130"/>
      <c r="D366" s="1376" t="s">
        <v>317</v>
      </c>
      <c r="E366" s="1377" t="s">
        <v>316</v>
      </c>
      <c r="F366" s="1067">
        <v>1</v>
      </c>
      <c r="G366" s="1067"/>
      <c r="H366" s="1067" t="s">
        <v>330</v>
      </c>
      <c r="I366" s="1428">
        <v>0.5</v>
      </c>
      <c r="J366" s="1428"/>
      <c r="K366" s="1067" t="s">
        <v>331</v>
      </c>
      <c r="L366" s="1387" t="s">
        <v>332</v>
      </c>
      <c r="M366" s="1387"/>
      <c r="N366" s="1387"/>
      <c r="O366" s="1387"/>
      <c r="P366" s="1387"/>
      <c r="Q366" s="1067" t="s">
        <v>324</v>
      </c>
      <c r="R366" s="296"/>
      <c r="S366" s="296" t="s">
        <v>333</v>
      </c>
      <c r="T366" s="296" t="s">
        <v>316</v>
      </c>
      <c r="U366" s="1067">
        <f>+Q321</f>
        <v>91.8</v>
      </c>
      <c r="V366" s="1067"/>
      <c r="W366" s="1067"/>
      <c r="X366" s="303" t="s">
        <v>334</v>
      </c>
      <c r="Y366" s="303"/>
      <c r="Z366" s="125"/>
      <c r="AA366" s="125"/>
      <c r="AB366" s="125"/>
      <c r="AE366" s="276"/>
      <c r="AI366" s="288">
        <v>4</v>
      </c>
      <c r="AJ366" s="289">
        <f>AI366*G5+AJ364</f>
        <v>34</v>
      </c>
      <c r="AK366" s="289">
        <v>0</v>
      </c>
      <c r="AL366" s="304"/>
      <c r="AM366" s="305"/>
      <c r="BH366" s="38"/>
      <c r="BI366" s="38"/>
      <c r="BJ366" s="38"/>
      <c r="BK366" s="38"/>
      <c r="BL366" s="38"/>
    </row>
    <row r="367" spans="1:65" ht="15" customHeight="1">
      <c r="A367" s="136"/>
      <c r="B367" s="136"/>
      <c r="C367" s="130"/>
      <c r="D367" s="1376"/>
      <c r="E367" s="1377"/>
      <c r="F367" s="1067"/>
      <c r="G367" s="1067"/>
      <c r="H367" s="1067"/>
      <c r="I367" s="1428"/>
      <c r="J367" s="1428"/>
      <c r="K367" s="1067"/>
      <c r="L367" s="1391" t="s">
        <v>335</v>
      </c>
      <c r="M367" s="1391"/>
      <c r="N367" s="296" t="s">
        <v>330</v>
      </c>
      <c r="O367" s="1391" t="s">
        <v>333</v>
      </c>
      <c r="P367" s="1391"/>
      <c r="Q367" s="1067"/>
      <c r="R367" s="296"/>
      <c r="S367" s="296" t="s">
        <v>335</v>
      </c>
      <c r="T367" s="296" t="s">
        <v>316</v>
      </c>
      <c r="U367" s="1067">
        <f>+K321</f>
        <v>150</v>
      </c>
      <c r="V367" s="1067"/>
      <c r="W367" s="1067"/>
      <c r="X367" s="303" t="s">
        <v>334</v>
      </c>
      <c r="Y367" s="303"/>
      <c r="Z367" s="125"/>
      <c r="AA367" s="125"/>
      <c r="AB367" s="125"/>
      <c r="AE367" s="276"/>
      <c r="BH367" s="38"/>
      <c r="BI367" s="38"/>
      <c r="BJ367" s="38"/>
      <c r="BK367" s="38"/>
      <c r="BL367" s="38"/>
    </row>
    <row r="368" spans="1:65" ht="15" customHeight="1">
      <c r="A368" s="136"/>
      <c r="B368" s="136"/>
      <c r="C368" s="130"/>
      <c r="D368" s="125"/>
      <c r="E368" s="1376"/>
      <c r="F368" s="1067">
        <v>1</v>
      </c>
      <c r="G368" s="1067"/>
      <c r="H368" s="1066" t="s">
        <v>330</v>
      </c>
      <c r="I368" s="1067">
        <v>0.5</v>
      </c>
      <c r="J368" s="1067"/>
      <c r="K368" s="1067" t="s">
        <v>336</v>
      </c>
      <c r="L368" s="1387">
        <f>+Q321</f>
        <v>91.8</v>
      </c>
      <c r="M368" s="1387"/>
      <c r="N368" s="1387"/>
      <c r="O368" s="1387"/>
      <c r="P368" s="1387"/>
      <c r="Q368" s="1067" t="s">
        <v>324</v>
      </c>
      <c r="R368" s="296"/>
      <c r="S368" s="296"/>
      <c r="T368" s="1067" t="s">
        <v>316</v>
      </c>
      <c r="U368" s="1389">
        <f>1-0.5*((U366/(U367-U366)))</f>
        <v>0.21134020618556704</v>
      </c>
      <c r="V368" s="1389"/>
      <c r="W368" s="1389"/>
      <c r="X368" s="1390" t="s">
        <v>334</v>
      </c>
      <c r="Y368" s="1390"/>
      <c r="Z368" s="125"/>
      <c r="AA368" s="125"/>
      <c r="AB368" s="125"/>
      <c r="AE368" s="276"/>
      <c r="BH368" s="38"/>
      <c r="BI368" s="38"/>
      <c r="BJ368" s="38"/>
      <c r="BK368" s="38"/>
      <c r="BL368" s="38"/>
    </row>
    <row r="369" spans="1:64" ht="15" customHeight="1">
      <c r="A369" s="136"/>
      <c r="B369" s="136"/>
      <c r="C369" s="130"/>
      <c r="D369" s="125"/>
      <c r="E369" s="1376"/>
      <c r="F369" s="1067"/>
      <c r="G369" s="1067"/>
      <c r="H369" s="1066"/>
      <c r="I369" s="1067"/>
      <c r="J369" s="1067"/>
      <c r="K369" s="1067"/>
      <c r="L369" s="1391">
        <f>+K321</f>
        <v>150</v>
      </c>
      <c r="M369" s="1391"/>
      <c r="N369" s="296" t="s">
        <v>330</v>
      </c>
      <c r="O369" s="1391">
        <f>+Q321</f>
        <v>91.8</v>
      </c>
      <c r="P369" s="1391"/>
      <c r="Q369" s="1067"/>
      <c r="R369" s="296"/>
      <c r="S369" s="296"/>
      <c r="T369" s="1067"/>
      <c r="U369" s="1389"/>
      <c r="V369" s="1389"/>
      <c r="W369" s="1389"/>
      <c r="X369" s="1390"/>
      <c r="Y369" s="1390"/>
      <c r="Z369" s="125"/>
      <c r="AA369" s="125"/>
      <c r="AB369" s="125"/>
      <c r="AE369" s="276"/>
      <c r="BH369" s="38"/>
      <c r="BI369" s="38"/>
      <c r="BJ369" s="38"/>
      <c r="BK369" s="38"/>
      <c r="BL369" s="38"/>
    </row>
    <row r="370" spans="1:64" ht="15" customHeight="1">
      <c r="A370" s="136"/>
      <c r="B370" s="136"/>
      <c r="C370" s="130"/>
      <c r="D370" s="1376" t="s">
        <v>318</v>
      </c>
      <c r="E370" s="1376" t="s">
        <v>316</v>
      </c>
      <c r="F370" s="1067">
        <v>1</v>
      </c>
      <c r="G370" s="1067"/>
      <c r="H370" s="1067" t="s">
        <v>337</v>
      </c>
      <c r="I370" s="1067">
        <v>0.2</v>
      </c>
      <c r="J370" s="1067"/>
      <c r="K370" s="1067"/>
      <c r="L370" s="1437" t="s">
        <v>338</v>
      </c>
      <c r="M370" s="1437"/>
      <c r="N370" s="1437" t="s">
        <v>331</v>
      </c>
      <c r="O370" s="1387">
        <v>10</v>
      </c>
      <c r="P370" s="1387"/>
      <c r="Q370" s="1387"/>
      <c r="R370" s="1067" t="s">
        <v>324</v>
      </c>
      <c r="S370" s="296"/>
      <c r="T370" s="1067" t="s">
        <v>316</v>
      </c>
      <c r="U370" s="1375">
        <f>1+0.2*LOG((O370/0.2))</f>
        <v>1.3397940008672038</v>
      </c>
      <c r="V370" s="1375"/>
      <c r="W370" s="1375"/>
      <c r="X370" s="296"/>
      <c r="Y370" s="296"/>
      <c r="Z370" s="125"/>
      <c r="AA370" s="125"/>
      <c r="AB370" s="125"/>
      <c r="AE370" s="276"/>
      <c r="BH370" s="38"/>
      <c r="BI370" s="38"/>
      <c r="BJ370" s="38"/>
      <c r="BK370" s="38"/>
      <c r="BL370" s="38"/>
    </row>
    <row r="371" spans="1:64" ht="15" customHeight="1">
      <c r="A371" s="136"/>
      <c r="B371" s="136"/>
      <c r="C371" s="130"/>
      <c r="D371" s="1376"/>
      <c r="E371" s="1376"/>
      <c r="F371" s="1067"/>
      <c r="G371" s="1067"/>
      <c r="H371" s="1067"/>
      <c r="I371" s="1067"/>
      <c r="J371" s="1067"/>
      <c r="K371" s="1067"/>
      <c r="L371" s="1437"/>
      <c r="M371" s="1437"/>
      <c r="N371" s="1437"/>
      <c r="O371" s="1391">
        <v>0.1</v>
      </c>
      <c r="P371" s="1391"/>
      <c r="Q371" s="1391"/>
      <c r="R371" s="1067"/>
      <c r="S371" s="296"/>
      <c r="T371" s="1067"/>
      <c r="U371" s="1375"/>
      <c r="V371" s="1375"/>
      <c r="W371" s="1375"/>
      <c r="X371" s="296"/>
      <c r="Y371" s="296"/>
      <c r="Z371" s="125"/>
      <c r="AA371" s="125"/>
      <c r="AB371" s="125"/>
      <c r="AE371" s="276"/>
      <c r="BH371" s="38"/>
      <c r="BI371" s="38"/>
      <c r="BJ371" s="38"/>
      <c r="BK371" s="38"/>
      <c r="BL371" s="38"/>
    </row>
    <row r="372" spans="1:64" ht="15" customHeight="1">
      <c r="A372" s="136"/>
      <c r="B372" s="136"/>
      <c r="C372" s="85"/>
      <c r="D372" s="85"/>
      <c r="E372" s="85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85"/>
      <c r="AA372" s="85"/>
      <c r="AB372" s="85"/>
      <c r="AE372" s="276"/>
      <c r="BH372" s="38"/>
      <c r="BI372" s="38"/>
      <c r="BJ372" s="38"/>
      <c r="BK372" s="38"/>
      <c r="BL372" s="38"/>
    </row>
    <row r="373" spans="1:64" ht="15" customHeight="1">
      <c r="A373" s="136"/>
      <c r="B373" s="136"/>
      <c r="C373" s="85"/>
      <c r="D373" s="85"/>
      <c r="E373" s="85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85"/>
      <c r="AA373" s="85"/>
      <c r="AB373" s="85"/>
      <c r="AE373" s="276"/>
      <c r="BH373" s="38"/>
      <c r="BI373" s="38"/>
      <c r="BJ373" s="38"/>
      <c r="BK373" s="38"/>
      <c r="BL373" s="38"/>
    </row>
    <row r="374" spans="1:64" ht="15" customHeight="1">
      <c r="A374" s="136"/>
      <c r="B374" s="306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AE374" s="276"/>
      <c r="BH374" s="38"/>
      <c r="BI374" s="38"/>
      <c r="BJ374" s="38"/>
      <c r="BK374" s="38"/>
      <c r="BL374" s="38"/>
    </row>
    <row r="375" spans="1:64" ht="14.25" customHeight="1">
      <c r="A375" s="136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AE375" s="276"/>
      <c r="BH375" s="38"/>
      <c r="BI375" s="38"/>
      <c r="BJ375" s="38"/>
      <c r="BK375" s="38"/>
      <c r="BL375" s="38"/>
    </row>
    <row r="376" spans="1:64" ht="14.25" customHeight="1">
      <c r="A376" s="136"/>
      <c r="B376" s="136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AE376" s="276"/>
      <c r="BH376" s="38"/>
      <c r="BI376" s="38"/>
      <c r="BJ376" s="38"/>
      <c r="BK376" s="38"/>
      <c r="BL376" s="38"/>
    </row>
    <row r="377" spans="1:64" ht="27.75" customHeight="1">
      <c r="A377" s="136"/>
      <c r="B377" s="1400" t="s">
        <v>339</v>
      </c>
      <c r="C377" s="1400"/>
      <c r="D377" s="1400"/>
      <c r="E377" s="1400"/>
      <c r="F377" s="1400"/>
      <c r="G377" s="1400"/>
      <c r="H377" s="1400"/>
      <c r="I377" s="1400"/>
      <c r="J377" s="1400"/>
      <c r="K377" s="1400"/>
      <c r="L377" s="1400"/>
      <c r="M377" s="1400"/>
      <c r="N377" s="1400"/>
      <c r="O377" s="1400"/>
      <c r="P377" s="1400"/>
      <c r="Q377" s="1400"/>
      <c r="R377" s="1400"/>
      <c r="S377" s="1401">
        <f>+U364</f>
        <v>5.6298679834040239</v>
      </c>
      <c r="T377" s="1401"/>
      <c r="U377" s="1401"/>
      <c r="V377" s="1401"/>
      <c r="W377" s="1401"/>
      <c r="X377" s="1401"/>
      <c r="Y377" s="1401"/>
      <c r="Z377" s="1401"/>
      <c r="AA377" s="307"/>
      <c r="AB377" s="307"/>
      <c r="AE377" s="276"/>
      <c r="BH377" s="38"/>
      <c r="BI377" s="38"/>
      <c r="BJ377" s="38"/>
      <c r="BK377" s="38"/>
      <c r="BL377" s="38"/>
    </row>
    <row r="378" spans="1:64" ht="27.75" customHeight="1">
      <c r="A378" s="136"/>
      <c r="B378" s="1402" t="s">
        <v>340</v>
      </c>
      <c r="C378" s="1402"/>
      <c r="D378" s="1402"/>
      <c r="E378" s="1402"/>
      <c r="F378" s="1402"/>
      <c r="G378" s="1402"/>
      <c r="H378" s="1402"/>
      <c r="I378" s="1402"/>
      <c r="J378" s="1402"/>
      <c r="K378" s="1402"/>
      <c r="L378" s="1402"/>
      <c r="M378" s="1402"/>
      <c r="N378" s="1402"/>
      <c r="O378" s="1402"/>
      <c r="P378" s="1402"/>
      <c r="Q378" s="1402"/>
      <c r="R378" s="1402"/>
      <c r="S378" s="1403">
        <v>25</v>
      </c>
      <c r="T378" s="1403"/>
      <c r="U378" s="1403"/>
      <c r="V378" s="1403"/>
      <c r="W378" s="1403"/>
      <c r="X378" s="1403"/>
      <c r="Y378" s="1403"/>
      <c r="Z378" s="1403"/>
      <c r="AA378" s="308"/>
      <c r="AB378" s="308"/>
      <c r="AE378" s="276"/>
      <c r="BH378" s="38"/>
      <c r="BI378" s="38"/>
      <c r="BJ378" s="38"/>
      <c r="BK378" s="38"/>
      <c r="BL378" s="38"/>
    </row>
    <row r="379" spans="1:64" ht="27.75" customHeight="1">
      <c r="A379" s="136"/>
      <c r="B379" s="1404" t="s">
        <v>341</v>
      </c>
      <c r="C379" s="1404"/>
      <c r="D379" s="1404"/>
      <c r="E379" s="1404"/>
      <c r="F379" s="1404"/>
      <c r="G379" s="1404"/>
      <c r="H379" s="1404"/>
      <c r="I379" s="1404"/>
      <c r="J379" s="1404"/>
      <c r="K379" s="1404"/>
      <c r="L379" s="1404"/>
      <c r="M379" s="1404"/>
      <c r="N379" s="1404"/>
      <c r="O379" s="1404"/>
      <c r="P379" s="1404"/>
      <c r="Q379" s="1404"/>
      <c r="R379" s="1404"/>
      <c r="S379" s="1404" t="str">
        <f>IF(S377 &lt;= S378, "O.K", "N.G")</f>
        <v>O.K</v>
      </c>
      <c r="T379" s="1404"/>
      <c r="U379" s="1404"/>
      <c r="V379" s="1404"/>
      <c r="W379" s="1404"/>
      <c r="X379" s="1404"/>
      <c r="Y379" s="1404"/>
      <c r="Z379" s="1404"/>
      <c r="AA379" s="309"/>
      <c r="AB379" s="309"/>
      <c r="AE379" s="276"/>
      <c r="BH379" s="38"/>
      <c r="BI379" s="38"/>
      <c r="BJ379" s="38"/>
      <c r="BK379" s="38"/>
      <c r="BL379" s="38"/>
    </row>
    <row r="380" spans="1:64" ht="15" customHeight="1">
      <c r="A380" s="136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E380" s="276"/>
      <c r="BH380" s="38"/>
      <c r="BI380" s="38"/>
      <c r="BJ380" s="38"/>
      <c r="BK380" s="38"/>
      <c r="BL380" s="38"/>
    </row>
    <row r="381" spans="1:64" ht="15" customHeight="1">
      <c r="A381" s="136"/>
      <c r="B381" s="136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AE381" s="276"/>
      <c r="BH381" s="38"/>
      <c r="BI381" s="38"/>
      <c r="BJ381" s="38"/>
      <c r="BK381" s="38"/>
      <c r="BL381" s="38"/>
    </row>
    <row r="382" spans="1:64" ht="15" customHeight="1">
      <c r="A382" s="136"/>
      <c r="B382" s="136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AE382" s="276"/>
      <c r="BH382" s="38"/>
      <c r="BI382" s="38"/>
      <c r="BJ382" s="38"/>
      <c r="BK382" s="38"/>
      <c r="BL382" s="38"/>
    </row>
    <row r="383" spans="1:64" ht="15" customHeight="1">
      <c r="A383" s="136"/>
      <c r="B383" s="136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AE383" s="276"/>
      <c r="BH383" s="38"/>
      <c r="BI383" s="38"/>
      <c r="BJ383" s="38"/>
      <c r="BK383" s="38"/>
      <c r="BL383" s="38"/>
    </row>
    <row r="384" spans="1:64" ht="15" customHeight="1">
      <c r="A384" s="136"/>
      <c r="B384" s="136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AE384" s="276"/>
      <c r="BH384" s="38"/>
      <c r="BI384" s="38"/>
      <c r="BJ384" s="38"/>
      <c r="BK384" s="38"/>
      <c r="BL384" s="38"/>
    </row>
    <row r="385" spans="1:64" ht="15" customHeight="1">
      <c r="A385" s="136"/>
      <c r="B385" s="136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AE385" s="276"/>
      <c r="BH385" s="38"/>
      <c r="BI385" s="38"/>
      <c r="BJ385" s="38"/>
      <c r="BK385" s="38"/>
      <c r="BL385" s="38"/>
    </row>
    <row r="386" spans="1:64" ht="15" customHeight="1">
      <c r="A386" s="136"/>
      <c r="B386" s="136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AE386" s="276"/>
      <c r="BH386" s="38"/>
      <c r="BI386" s="38"/>
      <c r="BJ386" s="38"/>
      <c r="BK386" s="38"/>
      <c r="BL386" s="38"/>
    </row>
    <row r="387" spans="1:64" ht="15" customHeight="1">
      <c r="A387" s="136"/>
      <c r="B387" s="136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AE387" s="276"/>
      <c r="BH387" s="38"/>
      <c r="BI387" s="38"/>
      <c r="BJ387" s="38"/>
      <c r="BK387" s="38"/>
      <c r="BL387" s="38"/>
    </row>
    <row r="388" spans="1:64" ht="15" customHeight="1">
      <c r="A388" s="136"/>
      <c r="B388" s="136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AE388" s="276"/>
      <c r="BH388" s="38"/>
      <c r="BI388" s="38"/>
      <c r="BJ388" s="38"/>
      <c r="BK388" s="38"/>
      <c r="BL388" s="38"/>
    </row>
    <row r="389" spans="1:64" ht="15" customHeight="1">
      <c r="A389" s="136"/>
      <c r="B389" s="136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AE389" s="276"/>
      <c r="BH389" s="38"/>
      <c r="BI389" s="38"/>
      <c r="BJ389" s="38"/>
      <c r="BK389" s="38"/>
      <c r="BL389" s="38"/>
    </row>
    <row r="390" spans="1:64" ht="15" customHeight="1">
      <c r="A390" s="136"/>
      <c r="B390" s="136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AE390" s="276"/>
      <c r="BH390" s="38"/>
      <c r="BI390" s="38"/>
      <c r="BJ390" s="38"/>
      <c r="BK390" s="38"/>
      <c r="BL390" s="38"/>
    </row>
    <row r="391" spans="1:64" ht="15" customHeight="1">
      <c r="A391" s="136"/>
      <c r="B391" s="136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AE391" s="276"/>
      <c r="BH391" s="38"/>
      <c r="BI391" s="38"/>
      <c r="BJ391" s="38"/>
      <c r="BK391" s="38"/>
      <c r="BL391" s="38"/>
    </row>
    <row r="392" spans="1:64" ht="15" customHeight="1">
      <c r="A392" s="136"/>
      <c r="B392" s="136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AE392" s="276"/>
      <c r="BH392" s="38"/>
      <c r="BI392" s="38"/>
      <c r="BJ392" s="38"/>
      <c r="BK392" s="38"/>
      <c r="BL392" s="38"/>
    </row>
    <row r="393" spans="1:64" ht="15" customHeight="1">
      <c r="A393" s="136"/>
      <c r="B393" s="136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AE393" s="276"/>
      <c r="BH393" s="38"/>
      <c r="BI393" s="38"/>
      <c r="BJ393" s="38"/>
      <c r="BK393" s="38"/>
      <c r="BL393" s="38"/>
    </row>
    <row r="394" spans="1:64" ht="15" customHeight="1">
      <c r="A394" s="136"/>
      <c r="B394" s="136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AE394" s="276"/>
      <c r="BH394" s="38"/>
      <c r="BI394" s="38"/>
      <c r="BJ394" s="38"/>
      <c r="BK394" s="38"/>
      <c r="BL394" s="38"/>
    </row>
    <row r="395" spans="1:64" ht="15" customHeight="1">
      <c r="A395" s="136"/>
      <c r="B395" s="136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AE395" s="276"/>
      <c r="BH395" s="38"/>
      <c r="BI395" s="38"/>
      <c r="BJ395" s="38"/>
      <c r="BK395" s="38"/>
      <c r="BL395" s="38"/>
    </row>
    <row r="396" spans="1:64" ht="15" customHeight="1">
      <c r="A396" s="136"/>
      <c r="B396" s="136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AE396" s="276"/>
      <c r="BH396" s="38"/>
      <c r="BI396" s="38"/>
      <c r="BJ396" s="38"/>
      <c r="BK396" s="38"/>
      <c r="BL396" s="38"/>
    </row>
    <row r="397" spans="1:64" ht="15" customHeight="1">
      <c r="A397" s="136"/>
      <c r="B397" s="136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AE397" s="276"/>
      <c r="BH397" s="38"/>
      <c r="BI397" s="38"/>
      <c r="BJ397" s="38"/>
      <c r="BK397" s="38"/>
      <c r="BL397" s="38"/>
    </row>
    <row r="398" spans="1:64" ht="15" customHeight="1">
      <c r="A398" s="136"/>
      <c r="B398" s="136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AE398" s="276"/>
      <c r="BH398" s="38"/>
      <c r="BI398" s="38"/>
      <c r="BJ398" s="38"/>
      <c r="BK398" s="38"/>
      <c r="BL398" s="38"/>
    </row>
    <row r="399" spans="1:64" ht="15" customHeight="1">
      <c r="A399" s="136"/>
      <c r="B399" s="136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AE399" s="276"/>
      <c r="BH399" s="38"/>
      <c r="BI399" s="38"/>
      <c r="BJ399" s="38"/>
      <c r="BK399" s="38"/>
      <c r="BL399" s="38"/>
    </row>
    <row r="400" spans="1:64" ht="15" customHeight="1">
      <c r="A400" s="136"/>
      <c r="B400" s="136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AE400" s="276"/>
      <c r="BH400" s="38"/>
      <c r="BI400" s="38"/>
      <c r="BJ400" s="38"/>
      <c r="BK400" s="38"/>
      <c r="BL400" s="38"/>
    </row>
    <row r="401" spans="1:64" ht="15" customHeight="1">
      <c r="A401" s="136"/>
      <c r="B401" s="136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AE401" s="276"/>
      <c r="BH401" s="38"/>
      <c r="BI401" s="38"/>
      <c r="BJ401" s="38"/>
      <c r="BK401" s="38"/>
      <c r="BL401" s="38"/>
    </row>
    <row r="402" spans="1:64" ht="15" customHeight="1">
      <c r="A402" s="136"/>
      <c r="B402" s="136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AE402" s="276"/>
      <c r="BH402" s="38"/>
      <c r="BI402" s="38"/>
      <c r="BJ402" s="38"/>
      <c r="BK402" s="38"/>
      <c r="BL402" s="38"/>
    </row>
    <row r="403" spans="1:64" ht="15" customHeight="1">
      <c r="A403" s="136"/>
      <c r="B403" s="136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AE403" s="276"/>
      <c r="BH403" s="38"/>
      <c r="BI403" s="38"/>
      <c r="BJ403" s="38"/>
      <c r="BK403" s="38"/>
      <c r="BL403" s="38"/>
    </row>
    <row r="404" spans="1:64" ht="15" customHeight="1">
      <c r="A404" s="136"/>
      <c r="B404" s="136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AE404" s="276"/>
      <c r="BH404" s="38"/>
      <c r="BI404" s="38"/>
      <c r="BJ404" s="38"/>
      <c r="BK404" s="38"/>
      <c r="BL404" s="38"/>
    </row>
    <row r="405" spans="1:64" ht="15" customHeight="1">
      <c r="A405" s="136"/>
      <c r="B405" s="136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AE405" s="276"/>
      <c r="BH405" s="38"/>
      <c r="BI405" s="38"/>
      <c r="BJ405" s="38"/>
      <c r="BK405" s="38"/>
      <c r="BL405" s="38"/>
    </row>
    <row r="406" spans="1:64" ht="15" customHeight="1">
      <c r="A406" s="136"/>
      <c r="B406" s="136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AE406" s="276"/>
      <c r="BH406" s="38"/>
      <c r="BI406" s="38"/>
      <c r="BJ406" s="38"/>
      <c r="BK406" s="38"/>
      <c r="BL406" s="38"/>
    </row>
    <row r="407" spans="1:64" ht="15" customHeight="1">
      <c r="A407" s="136"/>
      <c r="B407" s="136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AE407" s="276"/>
      <c r="BH407" s="38"/>
      <c r="BI407" s="38"/>
      <c r="BJ407" s="38"/>
      <c r="BK407" s="38"/>
      <c r="BL407" s="38"/>
    </row>
    <row r="408" spans="1:64" ht="15" customHeight="1">
      <c r="A408" s="136"/>
      <c r="B408" s="136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AE408" s="276"/>
      <c r="BH408" s="38"/>
      <c r="BI408" s="38"/>
      <c r="BJ408" s="38"/>
      <c r="BK408" s="38"/>
      <c r="BL408" s="38"/>
    </row>
    <row r="409" spans="1:64" ht="15" customHeight="1">
      <c r="A409" s="136"/>
      <c r="B409" s="136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AE409" s="276"/>
      <c r="BH409" s="38"/>
      <c r="BI409" s="38"/>
      <c r="BJ409" s="38"/>
      <c r="BK409" s="38"/>
      <c r="BL409" s="38"/>
    </row>
    <row r="410" spans="1:64" ht="15" customHeight="1">
      <c r="A410" s="136"/>
      <c r="B410" s="136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AE410" s="276"/>
      <c r="BH410" s="38"/>
      <c r="BI410" s="38"/>
      <c r="BJ410" s="38"/>
      <c r="BK410" s="38"/>
      <c r="BL410" s="38"/>
    </row>
    <row r="411" spans="1:64" ht="15" customHeight="1">
      <c r="A411" s="136"/>
      <c r="B411" s="136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AE411" s="276"/>
      <c r="BH411" s="38"/>
      <c r="BI411" s="38"/>
      <c r="BJ411" s="38"/>
      <c r="BK411" s="38"/>
      <c r="BL411" s="38"/>
    </row>
    <row r="412" spans="1:64" ht="15" customHeight="1">
      <c r="A412" s="136"/>
      <c r="B412" s="136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AE412" s="276"/>
      <c r="BH412" s="38"/>
      <c r="BI412" s="38"/>
      <c r="BJ412" s="38"/>
      <c r="BK412" s="38"/>
      <c r="BL412" s="38"/>
    </row>
    <row r="413" spans="1:64" ht="15" customHeight="1">
      <c r="A413" s="136"/>
      <c r="B413" s="136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AE413" s="276"/>
      <c r="BH413" s="38"/>
      <c r="BI413" s="38"/>
      <c r="BJ413" s="38"/>
      <c r="BK413" s="38"/>
      <c r="BL413" s="38"/>
    </row>
    <row r="414" spans="1:64" ht="15" customHeight="1">
      <c r="A414" s="136"/>
      <c r="B414" s="136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AE414" s="276"/>
      <c r="BH414" s="38"/>
      <c r="BI414" s="38"/>
      <c r="BJ414" s="38"/>
      <c r="BK414" s="38"/>
      <c r="BL414" s="38"/>
    </row>
    <row r="415" spans="1:64" ht="15" customHeight="1">
      <c r="A415" s="136"/>
      <c r="B415" s="136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AE415" s="276"/>
      <c r="BH415" s="38"/>
      <c r="BI415" s="38"/>
      <c r="BJ415" s="38"/>
      <c r="BK415" s="38"/>
      <c r="BL415" s="38"/>
    </row>
    <row r="416" spans="1:64" ht="15" customHeight="1">
      <c r="A416" s="136"/>
      <c r="B416" s="136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AE416" s="276"/>
      <c r="BH416" s="38"/>
      <c r="BI416" s="38"/>
      <c r="BJ416" s="38"/>
      <c r="BK416" s="38"/>
      <c r="BL416" s="38"/>
    </row>
    <row r="417" spans="1:88" ht="15" customHeight="1">
      <c r="A417" s="136"/>
      <c r="B417" s="255" t="s">
        <v>342</v>
      </c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AE417" s="276"/>
      <c r="BH417" s="38"/>
      <c r="BI417" s="38"/>
      <c r="BJ417" s="38"/>
      <c r="BK417" s="38"/>
      <c r="BL417" s="38"/>
    </row>
    <row r="418" spans="1:88" ht="15" customHeight="1">
      <c r="A418" s="136"/>
      <c r="B418" s="310"/>
      <c r="C418" s="256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AE418" s="276"/>
      <c r="BH418" s="38"/>
      <c r="BI418" s="38"/>
      <c r="BJ418" s="38"/>
      <c r="BK418" s="38"/>
      <c r="BL418" s="38"/>
    </row>
    <row r="419" spans="1:88" ht="15" customHeight="1">
      <c r="A419" s="136"/>
      <c r="B419" s="224" t="s">
        <v>343</v>
      </c>
      <c r="C419" s="131" t="s">
        <v>344</v>
      </c>
      <c r="D419" s="85"/>
      <c r="E419" s="85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85"/>
      <c r="AE419" s="276"/>
      <c r="BH419" s="38"/>
      <c r="BI419" s="38"/>
      <c r="BJ419" s="38"/>
      <c r="BK419" s="38"/>
      <c r="BL419" s="38"/>
    </row>
    <row r="420" spans="1:88" ht="15" customHeight="1">
      <c r="A420" s="136"/>
      <c r="B420" s="224"/>
      <c r="C420" s="131"/>
      <c r="D420" s="85"/>
      <c r="E420" s="85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85"/>
      <c r="AE420" s="276"/>
      <c r="BH420" s="38"/>
      <c r="BI420" s="38"/>
      <c r="BJ420" s="38"/>
      <c r="BK420" s="38"/>
      <c r="BL420" s="38"/>
    </row>
    <row r="421" spans="1:88" ht="15" customHeight="1">
      <c r="A421" s="136"/>
      <c r="B421" s="224"/>
      <c r="C421" s="130" t="s">
        <v>345</v>
      </c>
      <c r="D421" s="85"/>
      <c r="E421" s="85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85"/>
      <c r="AE421" s="276"/>
      <c r="BH421" s="38"/>
      <c r="BI421" s="38"/>
      <c r="BJ421" s="38"/>
      <c r="BK421" s="38"/>
      <c r="BL421" s="38"/>
    </row>
    <row r="422" spans="1:88" s="5" customFormat="1" ht="15" customHeight="1">
      <c r="A422" s="136"/>
      <c r="B422" s="224"/>
      <c r="C422" s="1392" t="s">
        <v>346</v>
      </c>
      <c r="D422" s="1411" t="s">
        <v>90</v>
      </c>
      <c r="E422" s="1511" t="s">
        <v>347</v>
      </c>
      <c r="F422" s="1511"/>
      <c r="G422" s="1511"/>
      <c r="H422" s="1511"/>
      <c r="I422" s="85"/>
      <c r="J422" s="132"/>
      <c r="K422" s="132"/>
      <c r="L422" s="132"/>
      <c r="M422" s="132"/>
      <c r="N422" s="132"/>
      <c r="O422" s="1392" t="s">
        <v>348</v>
      </c>
      <c r="P422" s="1411" t="s">
        <v>90</v>
      </c>
      <c r="Q422" s="1511" t="s">
        <v>349</v>
      </c>
      <c r="R422" s="1511"/>
      <c r="S422" s="1511"/>
      <c r="T422" s="1511"/>
      <c r="U422" s="1511"/>
      <c r="V422" s="132"/>
      <c r="W422" s="132"/>
      <c r="X422" s="132"/>
      <c r="Y422" s="132"/>
      <c r="Z422" s="85"/>
      <c r="AA422" s="3"/>
      <c r="AB422" s="3"/>
      <c r="AC422" s="3"/>
      <c r="AD422" s="3"/>
      <c r="AE422" s="276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Z422" s="3"/>
      <c r="BA422" s="3"/>
      <c r="BB422" s="3"/>
      <c r="BC422" s="3"/>
      <c r="BD422" s="3"/>
      <c r="BE422" s="3"/>
      <c r="BF422" s="3"/>
      <c r="BG422" s="3"/>
      <c r="BH422" s="38"/>
      <c r="BI422" s="38"/>
      <c r="BJ422" s="38"/>
      <c r="BK422" s="38"/>
      <c r="BL422" s="38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</row>
    <row r="423" spans="1:88" s="5" customFormat="1" ht="15" customHeight="1">
      <c r="A423" s="136"/>
      <c r="B423" s="224"/>
      <c r="C423" s="1392"/>
      <c r="D423" s="1316"/>
      <c r="E423" s="1571" t="s">
        <v>350</v>
      </c>
      <c r="F423" s="1571"/>
      <c r="G423" s="1571"/>
      <c r="H423" s="1571"/>
      <c r="I423" s="132"/>
      <c r="J423" s="132"/>
      <c r="K423" s="132"/>
      <c r="L423" s="132"/>
      <c r="M423" s="132"/>
      <c r="N423" s="132"/>
      <c r="O423" s="1392"/>
      <c r="P423" s="1316"/>
      <c r="Q423" s="312" t="s">
        <v>351</v>
      </c>
      <c r="R423" s="313"/>
      <c r="S423" s="313"/>
      <c r="T423" s="313"/>
      <c r="U423" s="313"/>
      <c r="V423" s="132"/>
      <c r="W423" s="132"/>
      <c r="X423" s="132"/>
      <c r="Y423" s="132"/>
      <c r="Z423" s="85"/>
      <c r="AA423" s="3"/>
      <c r="AB423" s="3"/>
      <c r="AC423" s="3"/>
      <c r="AD423" s="3"/>
      <c r="AE423" s="276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Z423" s="3"/>
      <c r="BA423" s="3"/>
      <c r="BB423" s="3"/>
      <c r="BC423" s="3"/>
      <c r="BD423" s="3"/>
      <c r="BE423" s="3"/>
      <c r="BF423" s="3"/>
      <c r="BG423" s="3"/>
      <c r="BH423" s="38"/>
      <c r="BI423" s="38"/>
      <c r="BJ423" s="38"/>
      <c r="BK423" s="38"/>
      <c r="BL423" s="38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</row>
    <row r="424" spans="1:88" s="5" customFormat="1" ht="15" customHeight="1">
      <c r="A424" s="136"/>
      <c r="B424" s="310"/>
      <c r="C424" s="256"/>
      <c r="D424" s="3"/>
      <c r="E424" s="3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3"/>
      <c r="AA424" s="3"/>
      <c r="AB424" s="3"/>
      <c r="AC424" s="3"/>
      <c r="AD424" s="3"/>
      <c r="AE424" s="276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Z424" s="3"/>
      <c r="BA424" s="3"/>
      <c r="BB424" s="3"/>
      <c r="BC424" s="3"/>
      <c r="BD424" s="3"/>
      <c r="BE424" s="3"/>
      <c r="BF424" s="3"/>
      <c r="BG424" s="3"/>
      <c r="BH424" s="38"/>
      <c r="BI424" s="38"/>
      <c r="BJ424" s="38"/>
      <c r="BK424" s="38"/>
      <c r="BL424" s="38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</row>
    <row r="425" spans="1:88" s="5" customFormat="1" ht="28.5" customHeight="1">
      <c r="A425" s="136"/>
      <c r="B425" s="310"/>
      <c r="C425" s="1398" t="s">
        <v>352</v>
      </c>
      <c r="D425" s="1398"/>
      <c r="E425" s="1398"/>
      <c r="F425" s="1398"/>
      <c r="G425" s="1660" t="s">
        <v>353</v>
      </c>
      <c r="H425" s="1660"/>
      <c r="I425" s="1660"/>
      <c r="J425" s="1660" t="s">
        <v>354</v>
      </c>
      <c r="K425" s="1660"/>
      <c r="L425" s="1660"/>
      <c r="M425" s="1660"/>
      <c r="N425" s="1660"/>
      <c r="O425" s="1660"/>
      <c r="P425" s="1660" t="s">
        <v>355</v>
      </c>
      <c r="Q425" s="1660"/>
      <c r="R425" s="1660"/>
      <c r="S425" s="1661" t="s">
        <v>356</v>
      </c>
      <c r="T425" s="1661"/>
      <c r="U425" s="1661"/>
      <c r="V425" s="1661"/>
      <c r="W425" s="1661"/>
      <c r="X425" s="1661"/>
      <c r="Y425" s="252"/>
      <c r="Z425" s="3"/>
      <c r="AA425" s="3"/>
      <c r="AB425" s="3"/>
      <c r="AC425" s="3"/>
      <c r="AD425" s="3"/>
      <c r="AE425" s="276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Z425" s="3"/>
      <c r="BA425" s="3"/>
      <c r="BB425" s="3"/>
      <c r="BC425" s="3"/>
      <c r="BD425" s="3"/>
      <c r="BE425" s="3"/>
      <c r="BF425" s="3"/>
      <c r="BG425" s="3"/>
      <c r="BH425" s="38"/>
      <c r="BI425" s="38"/>
      <c r="BJ425" s="38"/>
      <c r="BK425" s="38"/>
      <c r="BL425" s="38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</row>
    <row r="426" spans="1:88" s="5" customFormat="1" ht="28.5" customHeight="1">
      <c r="A426" s="136"/>
      <c r="B426" s="310"/>
      <c r="C426" s="1662" t="s">
        <v>173</v>
      </c>
      <c r="D426" s="1662"/>
      <c r="E426" s="1662"/>
      <c r="F426" s="1662"/>
      <c r="G426" s="1552">
        <f>+Q96</f>
        <v>500</v>
      </c>
      <c r="H426" s="1394"/>
      <c r="I426" s="1394"/>
      <c r="J426" s="1397">
        <v>200000</v>
      </c>
      <c r="K426" s="1397"/>
      <c r="L426" s="1397"/>
      <c r="M426" s="1397"/>
      <c r="N426" s="1397"/>
      <c r="O426" s="1397"/>
      <c r="P426" s="1396">
        <v>0.3</v>
      </c>
      <c r="Q426" s="1396"/>
      <c r="R426" s="1396"/>
      <c r="S426" s="1394">
        <f>+K321-N321</f>
        <v>150</v>
      </c>
      <c r="T426" s="1394"/>
      <c r="U426" s="1394"/>
      <c r="V426" s="1394"/>
      <c r="W426" s="1394"/>
      <c r="X426" s="1394"/>
      <c r="Y426" s="252"/>
      <c r="Z426" s="3"/>
      <c r="AA426" s="3"/>
      <c r="AB426" s="3"/>
      <c r="AC426" s="3"/>
      <c r="AD426" s="3"/>
      <c r="AE426" s="276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Z426" s="3"/>
      <c r="BA426" s="3"/>
      <c r="BB426" s="3"/>
      <c r="BC426" s="3"/>
      <c r="BD426" s="3"/>
      <c r="BE426" s="3"/>
      <c r="BF426" s="3"/>
      <c r="BG426" s="3"/>
      <c r="BH426" s="38"/>
      <c r="BI426" s="38"/>
      <c r="BJ426" s="38"/>
      <c r="BK426" s="38"/>
      <c r="BL426" s="38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</row>
    <row r="427" spans="1:88" s="5" customFormat="1" ht="15" customHeight="1">
      <c r="A427" s="136"/>
      <c r="B427" s="310"/>
      <c r="C427" s="314"/>
      <c r="D427" s="314"/>
      <c r="E427" s="314"/>
      <c r="F427" s="314"/>
      <c r="G427" s="137"/>
      <c r="H427" s="137"/>
      <c r="I427" s="137"/>
      <c r="J427" s="315"/>
      <c r="K427" s="315"/>
      <c r="L427" s="315"/>
      <c r="M427" s="315"/>
      <c r="N427" s="315"/>
      <c r="O427" s="315"/>
      <c r="P427" s="258"/>
      <c r="Q427" s="258"/>
      <c r="R427" s="258"/>
      <c r="S427" s="137"/>
      <c r="T427" s="137"/>
      <c r="U427" s="137"/>
      <c r="V427" s="137"/>
      <c r="W427" s="137"/>
      <c r="X427" s="137"/>
      <c r="Y427" s="252"/>
      <c r="Z427" s="3"/>
      <c r="AA427" s="3"/>
      <c r="AB427" s="3"/>
      <c r="AC427" s="3"/>
      <c r="AD427" s="3"/>
      <c r="AE427" s="276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Z427" s="3"/>
      <c r="BA427" s="3"/>
      <c r="BB427" s="3"/>
      <c r="BC427" s="3"/>
      <c r="BD427" s="3"/>
      <c r="BE427" s="3"/>
      <c r="BF427" s="3"/>
      <c r="BG427" s="3"/>
      <c r="BH427" s="38"/>
      <c r="BI427" s="38"/>
      <c r="BJ427" s="38"/>
      <c r="BK427" s="38"/>
      <c r="BL427" s="38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</row>
    <row r="428" spans="1:88" s="5" customFormat="1" ht="15" customHeight="1">
      <c r="A428" s="136"/>
      <c r="B428" s="224"/>
      <c r="C428" s="1392" t="s">
        <v>348</v>
      </c>
      <c r="D428" s="1411" t="s">
        <v>90</v>
      </c>
      <c r="E428" s="1566" t="s">
        <v>349</v>
      </c>
      <c r="F428" s="1566"/>
      <c r="G428" s="1566"/>
      <c r="H428" s="1566"/>
      <c r="I428" s="1566"/>
      <c r="J428" s="1411" t="s">
        <v>90</v>
      </c>
      <c r="K428" s="316"/>
      <c r="L428" s="1413">
        <f>+J426</f>
        <v>200000</v>
      </c>
      <c r="M428" s="1413"/>
      <c r="N428" s="1413"/>
      <c r="O428" s="317" t="s">
        <v>343</v>
      </c>
      <c r="P428" s="318" t="s">
        <v>357</v>
      </c>
      <c r="Q428" s="319">
        <v>1</v>
      </c>
      <c r="R428" s="320" t="s">
        <v>358</v>
      </c>
      <c r="S428" s="321">
        <f>+P426</f>
        <v>0.3</v>
      </c>
      <c r="T428" s="319" t="s">
        <v>328</v>
      </c>
      <c r="U428" s="1411" t="s">
        <v>90</v>
      </c>
      <c r="V428" s="1659">
        <f>ROUND(L428*(1-P426)/((1+P426)*(1-2*P426)),0)</f>
        <v>269231</v>
      </c>
      <c r="W428" s="1659"/>
      <c r="X428" s="1659"/>
      <c r="Y428" s="1659"/>
      <c r="Z428" s="322"/>
      <c r="AA428" s="3"/>
      <c r="AB428" s="3"/>
      <c r="AC428" s="27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X428" s="3"/>
      <c r="AY428" s="3"/>
      <c r="AZ428" s="3"/>
      <c r="BA428" s="3"/>
      <c r="BB428" s="3"/>
      <c r="BC428" s="3"/>
      <c r="BD428" s="3"/>
      <c r="BE428" s="3"/>
      <c r="BF428" s="38"/>
      <c r="BG428" s="38"/>
      <c r="BH428" s="38"/>
      <c r="BI428" s="38"/>
      <c r="BJ428" s="38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</row>
    <row r="429" spans="1:88" s="5" customFormat="1" ht="15" customHeight="1">
      <c r="A429" s="136"/>
      <c r="B429" s="224"/>
      <c r="C429" s="1392"/>
      <c r="D429" s="1316"/>
      <c r="E429" s="323" t="s">
        <v>351</v>
      </c>
      <c r="F429" s="324"/>
      <c r="G429" s="324"/>
      <c r="H429" s="324"/>
      <c r="I429" s="324"/>
      <c r="J429" s="1316"/>
      <c r="K429" s="325" t="s">
        <v>357</v>
      </c>
      <c r="L429" s="325">
        <v>1</v>
      </c>
      <c r="M429" s="326" t="s">
        <v>248</v>
      </c>
      <c r="N429" s="285">
        <f>+P426</f>
        <v>0.3</v>
      </c>
      <c r="O429" s="285" t="s">
        <v>328</v>
      </c>
      <c r="P429" s="285" t="s">
        <v>359</v>
      </c>
      <c r="Q429" s="135">
        <v>1</v>
      </c>
      <c r="R429" s="327" t="s">
        <v>358</v>
      </c>
      <c r="S429" s="135">
        <f>2*P426</f>
        <v>0.6</v>
      </c>
      <c r="T429" s="135" t="s">
        <v>328</v>
      </c>
      <c r="U429" s="1316"/>
      <c r="V429" s="1659"/>
      <c r="W429" s="1659"/>
      <c r="X429" s="1659"/>
      <c r="Y429" s="1659"/>
      <c r="Z429" s="322"/>
      <c r="AA429" s="3"/>
      <c r="AB429" s="3"/>
      <c r="AC429" s="27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X429" s="3"/>
      <c r="AY429" s="3"/>
      <c r="AZ429" s="3"/>
      <c r="BA429" s="3"/>
      <c r="BB429" s="3"/>
      <c r="BC429" s="3"/>
      <c r="BD429" s="3"/>
      <c r="BE429" s="3"/>
      <c r="BF429" s="38"/>
      <c r="BG429" s="38"/>
      <c r="BH429" s="38"/>
      <c r="BI429" s="38"/>
      <c r="BJ429" s="38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</row>
    <row r="430" spans="1:88" s="5" customFormat="1" ht="15" customHeight="1">
      <c r="A430" s="136"/>
      <c r="B430" s="224"/>
      <c r="C430" s="311"/>
      <c r="D430" s="311"/>
      <c r="E430" s="311"/>
      <c r="F430" s="311"/>
      <c r="G430" s="135"/>
      <c r="H430" s="135"/>
      <c r="I430" s="135"/>
      <c r="J430" s="325"/>
      <c r="K430" s="325"/>
      <c r="L430" s="325"/>
      <c r="M430" s="325"/>
      <c r="N430" s="325"/>
      <c r="O430" s="325"/>
      <c r="P430" s="285"/>
      <c r="Q430" s="285"/>
      <c r="R430" s="285"/>
      <c r="S430" s="135"/>
      <c r="T430" s="135"/>
      <c r="U430" s="135"/>
      <c r="V430" s="135"/>
      <c r="W430" s="135"/>
      <c r="X430" s="135"/>
      <c r="Y430" s="132"/>
      <c r="Z430" s="85"/>
      <c r="AA430" s="3"/>
      <c r="AB430" s="3"/>
      <c r="AC430" s="3"/>
      <c r="AD430" s="3"/>
      <c r="AE430" s="276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Z430" s="3"/>
      <c r="BA430" s="3"/>
      <c r="BB430" s="3"/>
      <c r="BC430" s="3"/>
      <c r="BD430" s="3"/>
      <c r="BE430" s="3"/>
      <c r="BF430" s="3"/>
      <c r="BG430" s="3"/>
      <c r="BH430" s="38"/>
      <c r="BI430" s="38"/>
      <c r="BJ430" s="38"/>
      <c r="BK430" s="38"/>
      <c r="BL430" s="38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</row>
    <row r="431" spans="1:88" s="5" customFormat="1" ht="15" customHeight="1">
      <c r="A431" s="136"/>
      <c r="B431" s="224"/>
      <c r="C431" s="1392" t="s">
        <v>346</v>
      </c>
      <c r="D431" s="1411" t="s">
        <v>90</v>
      </c>
      <c r="E431" s="1511" t="s">
        <v>347</v>
      </c>
      <c r="F431" s="1511"/>
      <c r="G431" s="1511"/>
      <c r="H431" s="1511"/>
      <c r="I431" s="1411" t="s">
        <v>90</v>
      </c>
      <c r="J431" s="325"/>
      <c r="K431" s="1570">
        <f>+S426</f>
        <v>150</v>
      </c>
      <c r="L431" s="1570"/>
      <c r="M431" s="1570"/>
      <c r="N431" s="316" t="s">
        <v>343</v>
      </c>
      <c r="O431" s="1413">
        <f>+G426</f>
        <v>500</v>
      </c>
      <c r="P431" s="1413"/>
      <c r="Q431" s="285"/>
      <c r="R431" s="1411" t="s">
        <v>90</v>
      </c>
      <c r="S431" s="135"/>
      <c r="T431" s="1422">
        <f>ROUND((K431*O431)/K432,2)</f>
        <v>0.28000000000000003</v>
      </c>
      <c r="U431" s="1422"/>
      <c r="V431" s="1422" t="s">
        <v>360</v>
      </c>
      <c r="W431" s="1422"/>
      <c r="X431" s="135"/>
      <c r="Y431" s="132"/>
      <c r="Z431" s="85"/>
      <c r="AA431" s="3"/>
      <c r="AB431" s="3"/>
      <c r="AC431" s="3"/>
      <c r="AD431" s="3"/>
      <c r="AE431" s="276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Z431" s="3"/>
      <c r="BA431" s="3"/>
      <c r="BB431" s="3"/>
      <c r="BC431" s="3"/>
      <c r="BD431" s="3"/>
      <c r="BE431" s="3"/>
      <c r="BF431" s="3"/>
      <c r="BG431" s="3"/>
      <c r="BH431" s="38"/>
      <c r="BI431" s="38"/>
      <c r="BJ431" s="38"/>
      <c r="BK431" s="38"/>
      <c r="BL431" s="38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</row>
    <row r="432" spans="1:88" s="5" customFormat="1" ht="15" customHeight="1">
      <c r="A432" s="136"/>
      <c r="B432" s="224"/>
      <c r="C432" s="1392"/>
      <c r="D432" s="1316"/>
      <c r="E432" s="1571" t="s">
        <v>350</v>
      </c>
      <c r="F432" s="1571"/>
      <c r="G432" s="1571"/>
      <c r="H432" s="1571"/>
      <c r="I432" s="1316"/>
      <c r="J432" s="132"/>
      <c r="K432" s="1658">
        <f>+V428</f>
        <v>269231</v>
      </c>
      <c r="L432" s="1422"/>
      <c r="M432" s="1422"/>
      <c r="N432" s="1422"/>
      <c r="O432" s="1422"/>
      <c r="P432" s="1422"/>
      <c r="Q432" s="132"/>
      <c r="R432" s="1316"/>
      <c r="S432" s="132"/>
      <c r="T432" s="1422"/>
      <c r="U432" s="1422"/>
      <c r="V432" s="1422"/>
      <c r="W432" s="1422"/>
      <c r="X432" s="132"/>
      <c r="Y432" s="132"/>
      <c r="Z432" s="85"/>
      <c r="AA432" s="3"/>
      <c r="AB432" s="3"/>
      <c r="AC432" s="3"/>
      <c r="AD432" s="3"/>
      <c r="AE432" s="276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Z432" s="3"/>
      <c r="BA432" s="3"/>
      <c r="BB432" s="3"/>
      <c r="BC432" s="3"/>
      <c r="BD432" s="3"/>
      <c r="BE432" s="3"/>
      <c r="BF432" s="3"/>
      <c r="BG432" s="3"/>
      <c r="BH432" s="38"/>
      <c r="BI432" s="38"/>
      <c r="BJ432" s="38"/>
      <c r="BK432" s="38"/>
      <c r="BL432" s="38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</row>
    <row r="433" spans="1:87" s="5" customFormat="1" ht="15" customHeight="1">
      <c r="A433" s="136"/>
      <c r="B433" s="224"/>
      <c r="C433" s="131"/>
      <c r="D433" s="85"/>
      <c r="E433" s="85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3"/>
      <c r="AB433" s="3"/>
      <c r="AC433" s="3"/>
      <c r="AD433" s="3"/>
      <c r="AE433" s="276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Z433" s="3"/>
      <c r="BA433" s="3"/>
      <c r="BB433" s="3"/>
      <c r="BC433" s="3"/>
      <c r="BD433" s="3"/>
      <c r="BE433" s="3"/>
      <c r="BF433" s="3"/>
      <c r="BG433" s="3"/>
      <c r="BH433" s="38"/>
      <c r="BI433" s="38"/>
      <c r="BJ433" s="38"/>
      <c r="BK433" s="38"/>
      <c r="BL433" s="38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</row>
    <row r="434" spans="1:87" ht="15" customHeight="1">
      <c r="A434" s="136"/>
      <c r="B434" s="224"/>
      <c r="C434" s="130" t="s">
        <v>361</v>
      </c>
      <c r="D434" s="85"/>
      <c r="E434" s="85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E434" s="276"/>
      <c r="BH434" s="38"/>
      <c r="BI434" s="38"/>
      <c r="BJ434" s="38"/>
      <c r="BK434" s="38"/>
      <c r="BL434" s="38"/>
    </row>
    <row r="435" spans="1:87" ht="8.25" customHeight="1">
      <c r="A435" s="136"/>
      <c r="B435" s="224"/>
      <c r="C435" s="130"/>
      <c r="D435" s="85"/>
      <c r="E435" s="85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E435" s="276"/>
      <c r="BH435" s="38"/>
      <c r="BI435" s="38"/>
      <c r="BJ435" s="38"/>
      <c r="BK435" s="38"/>
      <c r="BL435" s="38"/>
    </row>
    <row r="436" spans="1:87" ht="15" customHeight="1">
      <c r="A436" s="136"/>
      <c r="B436" s="224"/>
      <c r="C436" s="1067" t="s">
        <v>362</v>
      </c>
      <c r="D436" s="1067" t="s">
        <v>316</v>
      </c>
      <c r="E436" s="1067" t="s">
        <v>363</v>
      </c>
      <c r="F436" s="1067" t="s">
        <v>343</v>
      </c>
      <c r="G436" s="1067" t="s">
        <v>271</v>
      </c>
      <c r="H436" s="1067" t="s">
        <v>343</v>
      </c>
      <c r="I436" s="1067" t="s">
        <v>364</v>
      </c>
      <c r="J436" s="1067" t="s">
        <v>343</v>
      </c>
      <c r="K436" s="1067" t="s">
        <v>365</v>
      </c>
      <c r="L436" s="328" t="s">
        <v>366</v>
      </c>
      <c r="M436" s="1067" t="s">
        <v>343</v>
      </c>
      <c r="N436" s="1067" t="s">
        <v>367</v>
      </c>
      <c r="O436" s="1067"/>
      <c r="P436" s="296"/>
      <c r="Q436" s="297"/>
      <c r="R436" s="296"/>
      <c r="S436" s="296"/>
      <c r="T436" s="296"/>
      <c r="U436" s="125"/>
      <c r="V436" s="125"/>
      <c r="W436" s="132"/>
      <c r="X436" s="132"/>
      <c r="Y436" s="132"/>
      <c r="Z436" s="85"/>
      <c r="AE436" s="276"/>
      <c r="BH436" s="38"/>
      <c r="BI436" s="38"/>
      <c r="BJ436" s="38"/>
      <c r="BK436" s="38"/>
      <c r="BL436" s="38"/>
    </row>
    <row r="437" spans="1:87" ht="15" customHeight="1">
      <c r="A437" s="136"/>
      <c r="B437" s="224"/>
      <c r="C437" s="1067"/>
      <c r="D437" s="1067"/>
      <c r="E437" s="1067"/>
      <c r="F437" s="1067"/>
      <c r="G437" s="1067"/>
      <c r="H437" s="1067"/>
      <c r="I437" s="1067"/>
      <c r="J437" s="1067"/>
      <c r="K437" s="1067"/>
      <c r="L437" s="312" t="s">
        <v>368</v>
      </c>
      <c r="M437" s="1067"/>
      <c r="N437" s="1067"/>
      <c r="O437" s="1067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E437" s="276"/>
      <c r="BH437" s="38"/>
      <c r="BI437" s="38"/>
      <c r="BJ437" s="38"/>
      <c r="BK437" s="38"/>
      <c r="BL437" s="38"/>
    </row>
    <row r="438" spans="1:87" ht="15" customHeight="1">
      <c r="A438" s="136"/>
      <c r="B438" s="136"/>
      <c r="E438" s="258"/>
      <c r="F438" s="258"/>
      <c r="G438" s="258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AE438" s="276"/>
      <c r="BH438" s="38"/>
      <c r="BI438" s="38"/>
      <c r="BJ438" s="38"/>
      <c r="BK438" s="38"/>
      <c r="BL438" s="38"/>
    </row>
    <row r="439" spans="1:87" ht="27" customHeight="1">
      <c r="A439" s="136"/>
      <c r="B439" s="1654" t="s">
        <v>284</v>
      </c>
      <c r="C439" s="1517"/>
      <c r="D439" s="1655" t="s">
        <v>285</v>
      </c>
      <c r="E439" s="1656"/>
      <c r="F439" s="1656"/>
      <c r="G439" s="1657"/>
      <c r="H439" s="1084" t="s">
        <v>232</v>
      </c>
      <c r="I439" s="1084"/>
      <c r="J439" s="1084"/>
      <c r="K439" s="1084" t="s">
        <v>233</v>
      </c>
      <c r="L439" s="1084"/>
      <c r="M439" s="1084"/>
      <c r="N439" s="1084" t="s">
        <v>286</v>
      </c>
      <c r="O439" s="1084"/>
      <c r="P439" s="1084"/>
      <c r="Q439" s="1084" t="s">
        <v>287</v>
      </c>
      <c r="R439" s="1084"/>
      <c r="S439" s="1084"/>
      <c r="T439" s="1311" t="s">
        <v>288</v>
      </c>
      <c r="U439" s="1312"/>
      <c r="V439" s="1313"/>
      <c r="W439" s="1311" t="s">
        <v>289</v>
      </c>
      <c r="X439" s="1312"/>
      <c r="Y439" s="1312"/>
      <c r="AD439" s="145" t="s">
        <v>369</v>
      </c>
      <c r="AE439" s="329" t="s">
        <v>370</v>
      </c>
      <c r="BH439" s="38"/>
      <c r="BI439" s="38"/>
      <c r="BJ439" s="38"/>
      <c r="BK439" s="38"/>
      <c r="BL439" s="38"/>
    </row>
    <row r="440" spans="1:87" s="5" customFormat="1" ht="27" customHeight="1">
      <c r="A440" s="136"/>
      <c r="B440" s="1237">
        <f>$G$5</f>
        <v>8.4</v>
      </c>
      <c r="C440" s="1238"/>
      <c r="D440" s="1251">
        <f>$K$5</f>
        <v>8.8000000000000007</v>
      </c>
      <c r="E440" s="1252"/>
      <c r="F440" s="1252"/>
      <c r="G440" s="1253"/>
      <c r="H440" s="1332">
        <f>+O5+Q96/1000</f>
        <v>5.6</v>
      </c>
      <c r="I440" s="1332"/>
      <c r="J440" s="1332"/>
      <c r="K440" s="1332">
        <f>+S5</f>
        <v>150</v>
      </c>
      <c r="L440" s="1332"/>
      <c r="M440" s="1332"/>
      <c r="N440" s="1419">
        <f>+R478</f>
        <v>134</v>
      </c>
      <c r="O440" s="1332"/>
      <c r="P440" s="1332"/>
      <c r="Q440" s="1332">
        <f>ROUND(+H440*AK155,1)</f>
        <v>100.8</v>
      </c>
      <c r="R440" s="1332"/>
      <c r="S440" s="1332"/>
      <c r="T440" s="1333">
        <f>+IF(Q440/(N440-Q440)&gt;1,0.5,1-0.5*(Q440/(N440-Q440)))</f>
        <v>0.5</v>
      </c>
      <c r="U440" s="1333"/>
      <c r="V440" s="1333"/>
      <c r="W440" s="1308">
        <f>+U486</f>
        <v>1.3397940008672038</v>
      </c>
      <c r="X440" s="1309"/>
      <c r="Y440" s="1309"/>
      <c r="Z440" s="3"/>
      <c r="AA440" s="3"/>
      <c r="AB440" s="3"/>
      <c r="AC440" s="3"/>
      <c r="AD440" s="3"/>
      <c r="AE440" s="276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Z440" s="3"/>
      <c r="BA440" s="3"/>
      <c r="BB440" s="3"/>
      <c r="BC440" s="3"/>
      <c r="BD440" s="3"/>
      <c r="BE440" s="3"/>
      <c r="BF440" s="3"/>
      <c r="BG440" s="3"/>
      <c r="BH440" s="38"/>
      <c r="BI440" s="38"/>
      <c r="BJ440" s="38"/>
      <c r="BK440" s="38"/>
      <c r="BL440" s="38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F440" s="3"/>
      <c r="CG440" s="3"/>
      <c r="CH440" s="3"/>
      <c r="CI440" s="3"/>
    </row>
    <row r="441" spans="1:87" s="5" customFormat="1" ht="15" customHeight="1" thickBot="1">
      <c r="A441" s="136"/>
      <c r="B441" s="159"/>
      <c r="C441" s="159"/>
      <c r="D441" s="159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258"/>
      <c r="R441" s="258"/>
      <c r="S441" s="258"/>
      <c r="T441" s="258"/>
      <c r="U441" s="258"/>
      <c r="V441" s="258"/>
      <c r="W441" s="258"/>
      <c r="X441" s="252"/>
      <c r="Y441" s="252"/>
      <c r="Z441" s="3"/>
      <c r="AA441" s="3"/>
      <c r="AB441" s="3"/>
      <c r="AC441" s="3"/>
      <c r="AD441" s="11"/>
      <c r="AE441" s="12"/>
      <c r="AF441" s="13"/>
      <c r="AG441" s="1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14" t="s">
        <v>11</v>
      </c>
      <c r="AT441" s="13"/>
      <c r="AU441" s="13"/>
      <c r="AV441" s="13"/>
      <c r="AW441" s="3"/>
      <c r="AZ441" s="3"/>
      <c r="BA441" s="3"/>
      <c r="BB441" s="3"/>
      <c r="BC441" s="3"/>
      <c r="BD441" s="3"/>
      <c r="BE441" s="3"/>
      <c r="BF441" s="3"/>
      <c r="BG441" s="3"/>
      <c r="BH441" s="38"/>
      <c r="BI441" s="38"/>
      <c r="BJ441" s="38"/>
      <c r="BK441" s="38"/>
      <c r="BL441" s="38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F441" s="3"/>
      <c r="CG441" s="3"/>
      <c r="CH441" s="3"/>
      <c r="CI441" s="3"/>
    </row>
    <row r="442" spans="1:87" s="5" customFormat="1" ht="15" customHeight="1" thickTop="1">
      <c r="A442" s="136"/>
      <c r="B442" s="1652" t="s">
        <v>290</v>
      </c>
      <c r="C442" s="1351"/>
      <c r="D442" s="1351"/>
      <c r="E442" s="1349" t="s">
        <v>49</v>
      </c>
      <c r="F442" s="1349"/>
      <c r="G442" s="1351" t="s">
        <v>291</v>
      </c>
      <c r="H442" s="1351"/>
      <c r="I442" s="1351"/>
      <c r="J442" s="1349" t="s">
        <v>55</v>
      </c>
      <c r="K442" s="1349"/>
      <c r="L442" s="1349"/>
      <c r="M442" s="1349" t="s">
        <v>292</v>
      </c>
      <c r="N442" s="1349"/>
      <c r="O442" s="1353" t="s">
        <v>371</v>
      </c>
      <c r="P442" s="1353"/>
      <c r="Q442" s="1354"/>
      <c r="R442" s="3"/>
      <c r="S442" s="259"/>
      <c r="T442" s="259"/>
      <c r="U442" s="259"/>
      <c r="V442" s="259"/>
      <c r="W442" s="3"/>
      <c r="X442" s="259"/>
      <c r="Y442" s="259"/>
      <c r="Z442" s="259"/>
      <c r="AA442" s="3"/>
      <c r="AB442" s="3"/>
      <c r="AC442" s="3"/>
      <c r="AD442" s="958" t="s">
        <v>19</v>
      </c>
      <c r="AE442" s="959"/>
      <c r="AF442" s="960"/>
      <c r="AG442" s="1365" t="s">
        <v>20</v>
      </c>
      <c r="AH442" s="1366"/>
      <c r="AI442" s="18" t="s">
        <v>21</v>
      </c>
      <c r="AJ442" s="18" t="s">
        <v>283</v>
      </c>
      <c r="AK442" s="928" t="s">
        <v>22</v>
      </c>
      <c r="AL442" s="18" t="s">
        <v>23</v>
      </c>
      <c r="AM442" s="1337" t="s">
        <v>24</v>
      </c>
      <c r="AN442" s="18" t="s">
        <v>23</v>
      </c>
      <c r="AO442" s="1337" t="s">
        <v>24</v>
      </c>
      <c r="AP442" s="11"/>
      <c r="AQ442" s="1423" t="s">
        <v>25</v>
      </c>
      <c r="AR442" s="330"/>
      <c r="AS442" s="1423" t="s">
        <v>26</v>
      </c>
      <c r="AT442" s="1423"/>
      <c r="AU442" s="1423" t="s">
        <v>27</v>
      </c>
      <c r="AV442" s="1423"/>
      <c r="AW442" s="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F442" s="3"/>
      <c r="CG442" s="3"/>
      <c r="CH442" s="3"/>
      <c r="CI442" s="3"/>
    </row>
    <row r="443" spans="1:87" s="5" customFormat="1" ht="15" customHeight="1" thickBot="1">
      <c r="A443" s="136"/>
      <c r="B443" s="1653"/>
      <c r="C443" s="1352"/>
      <c r="D443" s="1352"/>
      <c r="E443" s="1350"/>
      <c r="F443" s="1350"/>
      <c r="G443" s="1352"/>
      <c r="H443" s="1352"/>
      <c r="I443" s="1352"/>
      <c r="J443" s="1350"/>
      <c r="K443" s="1350"/>
      <c r="L443" s="1350"/>
      <c r="M443" s="1350"/>
      <c r="N443" s="1350"/>
      <c r="O443" s="1355"/>
      <c r="P443" s="1355"/>
      <c r="Q443" s="1356"/>
      <c r="R443" s="3"/>
      <c r="S443" s="259"/>
      <c r="T443" s="259"/>
      <c r="U443" s="259"/>
      <c r="V443" s="259"/>
      <c r="W443" s="3"/>
      <c r="X443" s="259"/>
      <c r="Y443" s="259"/>
      <c r="Z443" s="259"/>
      <c r="AA443" s="3"/>
      <c r="AB443" s="3"/>
      <c r="AC443" s="3"/>
      <c r="AD443" s="1645"/>
      <c r="AE443" s="1646"/>
      <c r="AF443" s="1647"/>
      <c r="AG443" s="1648"/>
      <c r="AH443" s="1649"/>
      <c r="AI443" s="22" t="s">
        <v>30</v>
      </c>
      <c r="AJ443" s="22" t="s">
        <v>30</v>
      </c>
      <c r="AK443" s="1650"/>
      <c r="AL443" s="22" t="s">
        <v>31</v>
      </c>
      <c r="AM443" s="1651"/>
      <c r="AN443" s="22" t="s">
        <v>32</v>
      </c>
      <c r="AO443" s="1651"/>
      <c r="AP443" s="11"/>
      <c r="AQ443" s="1423"/>
      <c r="AR443" s="330"/>
      <c r="AS443" s="1423"/>
      <c r="AT443" s="1423"/>
      <c r="AU443" s="1423"/>
      <c r="AV443" s="1423"/>
      <c r="AW443" s="3"/>
      <c r="AX443" s="20"/>
      <c r="AY443" s="20"/>
      <c r="AZ443" s="20"/>
      <c r="BA443" s="20"/>
      <c r="BB443" s="20"/>
      <c r="BC443" s="21"/>
      <c r="BD443" s="21"/>
      <c r="BE443" s="21"/>
      <c r="BF443" s="21"/>
      <c r="BG443" s="21"/>
      <c r="BH443" s="20"/>
      <c r="BI443" s="20"/>
      <c r="BJ443" s="20"/>
      <c r="BK443" s="20"/>
      <c r="BL443" s="20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F443" s="3"/>
      <c r="CG443" s="3"/>
      <c r="CH443" s="3"/>
      <c r="CI443" s="3"/>
    </row>
    <row r="444" spans="1:87" ht="15" customHeight="1" thickTop="1">
      <c r="A444" s="136"/>
      <c r="B444" s="1641" t="s">
        <v>294</v>
      </c>
      <c r="C444" s="1359"/>
      <c r="D444" s="1359"/>
      <c r="E444" s="1357" t="s">
        <v>20</v>
      </c>
      <c r="F444" s="1357"/>
      <c r="G444" s="1358" t="s">
        <v>295</v>
      </c>
      <c r="H444" s="1358"/>
      <c r="I444" s="1358"/>
      <c r="J444" s="1359" t="s">
        <v>296</v>
      </c>
      <c r="K444" s="1359"/>
      <c r="L444" s="1359"/>
      <c r="M444" s="1359" t="s">
        <v>297</v>
      </c>
      <c r="N444" s="1359"/>
      <c r="O444" s="1359" t="s">
        <v>298</v>
      </c>
      <c r="P444" s="1359"/>
      <c r="Q444" s="1360"/>
      <c r="S444" s="260"/>
      <c r="T444" s="260"/>
      <c r="U444" s="260"/>
      <c r="V444" s="260"/>
      <c r="X444" s="12"/>
      <c r="Y444" s="12"/>
      <c r="Z444" s="12"/>
      <c r="AD444" s="331">
        <v>0</v>
      </c>
      <c r="AE444" s="332" t="str">
        <f>+AE321</f>
        <v>~</v>
      </c>
      <c r="AF444" s="333">
        <v>0</v>
      </c>
      <c r="AG444" s="1642">
        <f>+AF444-AD444</f>
        <v>0</v>
      </c>
      <c r="AH444" s="1642"/>
      <c r="AI444" s="334"/>
      <c r="AJ444" s="26">
        <f>+BC6</f>
        <v>18000</v>
      </c>
      <c r="AK444" s="336">
        <f t="shared" ref="AK444:AK465" si="31">IF(AG444="","",(IF(AQ444&lt;0.5*$G$5,((AQ444/$G$5+0.125)/1.25),((AQ444/$G$5)-2)/(-3))))</f>
        <v>0.1</v>
      </c>
      <c r="AL444" s="1643"/>
      <c r="AM444" s="1644"/>
      <c r="AN444" s="1639">
        <f t="shared" ref="AN444:AN465" si="32">IF(AK444&lt;0,0,+AK444*AG444/AJ444)</f>
        <v>0</v>
      </c>
      <c r="AO444" s="1640"/>
      <c r="AP444" s="11"/>
      <c r="AQ444" s="28">
        <f>SUM(AG444)/2</f>
        <v>0</v>
      </c>
      <c r="AR444" s="29"/>
      <c r="AS444" s="871">
        <v>1</v>
      </c>
      <c r="AT444" s="871"/>
      <c r="AU444" s="1606">
        <f>+BN6</f>
        <v>9</v>
      </c>
      <c r="AV444" s="1607"/>
      <c r="AX444" s="30" t="s">
        <v>36</v>
      </c>
      <c r="AY444" s="31" t="s">
        <v>37</v>
      </c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3"/>
      <c r="CA444" s="5"/>
      <c r="CB444" s="5"/>
      <c r="CC444" s="5"/>
      <c r="CD444" s="5"/>
      <c r="CE444" s="5"/>
    </row>
    <row r="445" spans="1:87" ht="15" customHeight="1">
      <c r="A445" s="136"/>
      <c r="B445" s="1641"/>
      <c r="C445" s="1359"/>
      <c r="D445" s="1359"/>
      <c r="E445" s="1357"/>
      <c r="F445" s="1357"/>
      <c r="G445" s="1358"/>
      <c r="H445" s="1358"/>
      <c r="I445" s="1358"/>
      <c r="J445" s="1359"/>
      <c r="K445" s="1359"/>
      <c r="L445" s="1359"/>
      <c r="M445" s="1359"/>
      <c r="N445" s="1359"/>
      <c r="O445" s="1359"/>
      <c r="P445" s="1359"/>
      <c r="Q445" s="1360"/>
      <c r="S445" s="260"/>
      <c r="T445" s="260"/>
      <c r="U445" s="260"/>
      <c r="V445" s="260"/>
      <c r="X445" s="12"/>
      <c r="Y445" s="12"/>
      <c r="Z445" s="12"/>
      <c r="AD445" s="34">
        <v>0</v>
      </c>
      <c r="AE445" s="337" t="str">
        <f t="shared" ref="AD445:AF460" si="33">+AE322</f>
        <v>~</v>
      </c>
      <c r="AF445" s="338">
        <v>0</v>
      </c>
      <c r="AG445" s="1426">
        <f>+AF445-AD445</f>
        <v>0</v>
      </c>
      <c r="AH445" s="1426"/>
      <c r="AI445" s="334"/>
      <c r="AJ445" s="26">
        <f t="shared" ref="AJ445:AJ465" si="34">+BC7</f>
        <v>20400</v>
      </c>
      <c r="AK445" s="339">
        <f t="shared" si="31"/>
        <v>0.1</v>
      </c>
      <c r="AL445" s="1612"/>
      <c r="AM445" s="1613"/>
      <c r="AN445" s="1380">
        <f t="shared" si="32"/>
        <v>0</v>
      </c>
      <c r="AO445" s="1433"/>
      <c r="AP445" s="11"/>
      <c r="AQ445" s="28">
        <f>SUM(AG444)+(AG445/2)</f>
        <v>0</v>
      </c>
      <c r="AR445" s="29"/>
      <c r="AS445" s="871">
        <v>2</v>
      </c>
      <c r="AT445" s="871"/>
      <c r="AU445" s="1606">
        <f t="shared" ref="AU445:AU470" si="35">+BN7</f>
        <v>11</v>
      </c>
      <c r="AV445" s="1607"/>
      <c r="AX445" s="1628" t="s">
        <v>40</v>
      </c>
      <c r="AY445" s="1628"/>
      <c r="AZ445" s="1628"/>
      <c r="BA445" s="1628"/>
      <c r="BB445" s="1628"/>
      <c r="BC445" s="1638" t="s">
        <v>41</v>
      </c>
      <c r="BD445" s="1638"/>
      <c r="BE445" s="1638"/>
      <c r="BF445" s="1638"/>
      <c r="BG445" s="1638"/>
      <c r="BH445" s="1628" t="s">
        <v>42</v>
      </c>
      <c r="BI445" s="1628"/>
      <c r="BJ445" s="1628"/>
      <c r="BK445" s="1628"/>
      <c r="BL445" s="1628"/>
      <c r="CA445" s="5"/>
      <c r="CB445" s="5"/>
      <c r="CC445" s="5"/>
      <c r="CD445" s="5"/>
      <c r="CE445" s="5"/>
    </row>
    <row r="446" spans="1:87" ht="15" customHeight="1">
      <c r="A446" s="136"/>
      <c r="B446" s="261">
        <f>+AD444</f>
        <v>0</v>
      </c>
      <c r="C446" s="262" t="s">
        <v>35</v>
      </c>
      <c r="D446" s="263">
        <f>+AF444</f>
        <v>0</v>
      </c>
      <c r="E446" s="909">
        <f>+D446-B446</f>
        <v>0</v>
      </c>
      <c r="F446" s="909"/>
      <c r="G446" s="910">
        <f>+AQ444</f>
        <v>0</v>
      </c>
      <c r="H446" s="910"/>
      <c r="I446" s="910"/>
      <c r="J446" s="912">
        <f>+AJ444</f>
        <v>18000</v>
      </c>
      <c r="K446" s="912"/>
      <c r="L446" s="912"/>
      <c r="M446" s="906">
        <f>+AK444</f>
        <v>0.1</v>
      </c>
      <c r="N446" s="906"/>
      <c r="O446" s="907">
        <f t="shared" ref="O446:O467" si="36">IF(M446&lt;0,0,ROUND(M446*E446/J446,7))</f>
        <v>0</v>
      </c>
      <c r="P446" s="907"/>
      <c r="Q446" s="908"/>
      <c r="S446" s="264"/>
      <c r="T446" s="264"/>
      <c r="U446" s="264"/>
      <c r="V446" s="264"/>
      <c r="X446" s="264"/>
      <c r="Y446" s="264"/>
      <c r="Z446" s="264"/>
      <c r="AD446" s="34">
        <f t="shared" si="33"/>
        <v>0</v>
      </c>
      <c r="AE446" s="337" t="str">
        <f t="shared" si="33"/>
        <v>~</v>
      </c>
      <c r="AF446" s="338">
        <f t="shared" si="33"/>
        <v>0</v>
      </c>
      <c r="AG446" s="1426">
        <f t="shared" ref="AG446:AG465" si="37">+AF446-AD446</f>
        <v>0</v>
      </c>
      <c r="AH446" s="1426"/>
      <c r="AI446" s="334"/>
      <c r="AJ446" s="26">
        <f t="shared" si="34"/>
        <v>32400</v>
      </c>
      <c r="AK446" s="339">
        <f t="shared" si="31"/>
        <v>0.1</v>
      </c>
      <c r="AL446" s="1612"/>
      <c r="AM446" s="1613"/>
      <c r="AN446" s="1380">
        <f t="shared" si="32"/>
        <v>0</v>
      </c>
      <c r="AO446" s="1433"/>
      <c r="AP446" s="11"/>
      <c r="AQ446" s="28">
        <f>SUM(AG$444:AG445)+(AG446/2)</f>
        <v>0</v>
      </c>
      <c r="AR446" s="29"/>
      <c r="AS446" s="871">
        <v>3</v>
      </c>
      <c r="AT446" s="871"/>
      <c r="AU446" s="1606">
        <f t="shared" si="35"/>
        <v>21</v>
      </c>
      <c r="AV446" s="1607"/>
      <c r="AX446" s="1628" t="s">
        <v>46</v>
      </c>
      <c r="AY446" s="1628"/>
      <c r="AZ446" s="1628"/>
      <c r="BA446" s="1628"/>
      <c r="BB446" s="1628"/>
      <c r="BC446" s="1632" t="s">
        <v>47</v>
      </c>
      <c r="BD446" s="1632"/>
      <c r="BE446" s="1632"/>
      <c r="BF446" s="1632"/>
      <c r="BG446" s="1632"/>
      <c r="BH446" s="1633"/>
      <c r="BI446" s="1633"/>
      <c r="BJ446" s="1633"/>
      <c r="BK446" s="1633"/>
      <c r="BL446" s="1633"/>
      <c r="CA446" s="5"/>
      <c r="CB446" s="5"/>
      <c r="CC446" s="5"/>
      <c r="CD446" s="5"/>
      <c r="CE446" s="5"/>
      <c r="CG446" s="5"/>
      <c r="CH446" s="5"/>
      <c r="CI446" s="5"/>
    </row>
    <row r="447" spans="1:87" ht="15" customHeight="1">
      <c r="A447" s="136"/>
      <c r="B447" s="261">
        <f>+D446</f>
        <v>0</v>
      </c>
      <c r="C447" s="262" t="s">
        <v>35</v>
      </c>
      <c r="D447" s="263">
        <f t="shared" ref="D447:D463" si="38">+AF445</f>
        <v>0</v>
      </c>
      <c r="E447" s="909">
        <f t="shared" ref="E447:E467" si="39">+D447-B447</f>
        <v>0</v>
      </c>
      <c r="F447" s="909"/>
      <c r="G447" s="910">
        <f t="shared" ref="G447:G467" si="40">+AQ445</f>
        <v>0</v>
      </c>
      <c r="H447" s="910"/>
      <c r="I447" s="910"/>
      <c r="J447" s="912">
        <f t="shared" ref="J447:J467" si="41">+AJ445</f>
        <v>20400</v>
      </c>
      <c r="K447" s="912"/>
      <c r="L447" s="912"/>
      <c r="M447" s="906">
        <f t="shared" ref="M447:M467" si="42">+AK445</f>
        <v>0.1</v>
      </c>
      <c r="N447" s="906"/>
      <c r="O447" s="907">
        <f t="shared" si="36"/>
        <v>0</v>
      </c>
      <c r="P447" s="907"/>
      <c r="Q447" s="908"/>
      <c r="S447" s="264"/>
      <c r="T447" s="264"/>
      <c r="U447" s="264"/>
      <c r="V447" s="264"/>
      <c r="X447" s="264"/>
      <c r="Y447" s="264"/>
      <c r="Z447" s="264"/>
      <c r="AD447" s="34">
        <f t="shared" si="33"/>
        <v>0</v>
      </c>
      <c r="AE447" s="337" t="str">
        <f t="shared" si="33"/>
        <v>~</v>
      </c>
      <c r="AF447" s="338">
        <f t="shared" si="33"/>
        <v>0</v>
      </c>
      <c r="AG447" s="1426">
        <f t="shared" si="37"/>
        <v>0</v>
      </c>
      <c r="AH447" s="1426"/>
      <c r="AI447" s="334"/>
      <c r="AJ447" s="26">
        <f t="shared" si="34"/>
        <v>21600</v>
      </c>
      <c r="AK447" s="339">
        <f t="shared" si="31"/>
        <v>0.1</v>
      </c>
      <c r="AL447" s="1612"/>
      <c r="AM447" s="1613"/>
      <c r="AN447" s="1380">
        <f t="shared" si="32"/>
        <v>0</v>
      </c>
      <c r="AO447" s="1433"/>
      <c r="AP447" s="11"/>
      <c r="AQ447" s="28">
        <f>SUM(AG$444:AG446)+(AG447/2)</f>
        <v>0</v>
      </c>
      <c r="AR447" s="29"/>
      <c r="AS447" s="871">
        <v>4</v>
      </c>
      <c r="AT447" s="871"/>
      <c r="AU447" s="1606">
        <f t="shared" si="35"/>
        <v>12</v>
      </c>
      <c r="AV447" s="1607"/>
      <c r="AX447" s="1628"/>
      <c r="AY447" s="1628"/>
      <c r="AZ447" s="1628"/>
      <c r="BA447" s="1628"/>
      <c r="BB447" s="1628"/>
      <c r="BC447" s="1637" t="s">
        <v>59</v>
      </c>
      <c r="BD447" s="1637"/>
      <c r="BE447" s="1637"/>
      <c r="BF447" s="1637"/>
      <c r="BG447" s="1637"/>
      <c r="BH447" s="1636" t="s">
        <v>60</v>
      </c>
      <c r="BI447" s="1636"/>
      <c r="BJ447" s="1636"/>
      <c r="BK447" s="1636"/>
      <c r="BL447" s="1636"/>
      <c r="CA447" s="5"/>
      <c r="CB447" s="5"/>
      <c r="CC447" s="5"/>
      <c r="CD447" s="5"/>
      <c r="CE447" s="5"/>
      <c r="CF447" s="5"/>
      <c r="CG447" s="5"/>
      <c r="CH447" s="5"/>
      <c r="CI447" s="5"/>
    </row>
    <row r="448" spans="1:87" ht="15" customHeight="1">
      <c r="A448" s="136"/>
      <c r="B448" s="261">
        <f t="shared" ref="B448:B467" si="43">+D447</f>
        <v>0</v>
      </c>
      <c r="C448" s="262" t="s">
        <v>35</v>
      </c>
      <c r="D448" s="263">
        <f t="shared" si="38"/>
        <v>0</v>
      </c>
      <c r="E448" s="909">
        <f t="shared" si="39"/>
        <v>0</v>
      </c>
      <c r="F448" s="909"/>
      <c r="G448" s="910">
        <f t="shared" si="40"/>
        <v>0</v>
      </c>
      <c r="H448" s="910"/>
      <c r="I448" s="910"/>
      <c r="J448" s="912">
        <f t="shared" si="41"/>
        <v>32400</v>
      </c>
      <c r="K448" s="912"/>
      <c r="L448" s="912"/>
      <c r="M448" s="906">
        <f t="shared" si="42"/>
        <v>0.1</v>
      </c>
      <c r="N448" s="906"/>
      <c r="O448" s="907">
        <f t="shared" si="36"/>
        <v>0</v>
      </c>
      <c r="P448" s="907"/>
      <c r="Q448" s="908"/>
      <c r="S448" s="264"/>
      <c r="T448" s="264"/>
      <c r="U448" s="264"/>
      <c r="V448" s="264"/>
      <c r="X448" s="264"/>
      <c r="Y448" s="264"/>
      <c r="Z448" s="264"/>
      <c r="AD448" s="34">
        <f t="shared" si="33"/>
        <v>0</v>
      </c>
      <c r="AE448" s="337" t="str">
        <f t="shared" si="33"/>
        <v>~</v>
      </c>
      <c r="AF448" s="338">
        <f t="shared" si="33"/>
        <v>0</v>
      </c>
      <c r="AG448" s="1426">
        <f t="shared" si="37"/>
        <v>0</v>
      </c>
      <c r="AH448" s="1426"/>
      <c r="AI448" s="334"/>
      <c r="AJ448" s="26">
        <f t="shared" si="34"/>
        <v>25200</v>
      </c>
      <c r="AK448" s="339">
        <f t="shared" si="31"/>
        <v>0.1</v>
      </c>
      <c r="AL448" s="1612"/>
      <c r="AM448" s="1613"/>
      <c r="AN448" s="1380">
        <f t="shared" si="32"/>
        <v>0</v>
      </c>
      <c r="AO448" s="1433"/>
      <c r="AP448" s="11"/>
      <c r="AQ448" s="28">
        <f>SUM(AG$444:AG447)+(AG448/2)</f>
        <v>0</v>
      </c>
      <c r="AR448" s="29"/>
      <c r="AS448" s="871">
        <v>5</v>
      </c>
      <c r="AT448" s="871"/>
      <c r="AU448" s="1606">
        <f t="shared" si="35"/>
        <v>15</v>
      </c>
      <c r="AV448" s="1607"/>
      <c r="AX448" s="1628"/>
      <c r="AY448" s="1628"/>
      <c r="AZ448" s="1628"/>
      <c r="BA448" s="1628"/>
      <c r="BB448" s="1628"/>
      <c r="BC448" s="1636" t="s">
        <v>62</v>
      </c>
      <c r="BD448" s="1636"/>
      <c r="BE448" s="1636"/>
      <c r="BF448" s="1636"/>
      <c r="BG448" s="1636"/>
      <c r="BH448" s="1636" t="s">
        <v>63</v>
      </c>
      <c r="BI448" s="1636"/>
      <c r="BJ448" s="1636"/>
      <c r="BK448" s="1636"/>
      <c r="BL448" s="1636"/>
      <c r="CA448" s="5"/>
      <c r="CB448" s="5"/>
      <c r="CC448" s="5"/>
      <c r="CD448" s="5"/>
      <c r="CE448" s="5"/>
      <c r="CF448" s="5"/>
      <c r="CG448" s="5"/>
      <c r="CH448" s="5"/>
      <c r="CI448" s="5"/>
    </row>
    <row r="449" spans="1:87" ht="15" customHeight="1">
      <c r="A449" s="136"/>
      <c r="B449" s="261">
        <f t="shared" si="43"/>
        <v>0</v>
      </c>
      <c r="C449" s="262" t="s">
        <v>35</v>
      </c>
      <c r="D449" s="263">
        <f t="shared" si="38"/>
        <v>0</v>
      </c>
      <c r="E449" s="909">
        <f t="shared" si="39"/>
        <v>0</v>
      </c>
      <c r="F449" s="909"/>
      <c r="G449" s="910">
        <f t="shared" si="40"/>
        <v>0</v>
      </c>
      <c r="H449" s="910"/>
      <c r="I449" s="910"/>
      <c r="J449" s="912">
        <f t="shared" si="41"/>
        <v>21600</v>
      </c>
      <c r="K449" s="912"/>
      <c r="L449" s="912"/>
      <c r="M449" s="906">
        <f t="shared" si="42"/>
        <v>0.1</v>
      </c>
      <c r="N449" s="906"/>
      <c r="O449" s="907">
        <f t="shared" si="36"/>
        <v>0</v>
      </c>
      <c r="P449" s="907"/>
      <c r="Q449" s="908"/>
      <c r="S449" s="264"/>
      <c r="T449" s="264"/>
      <c r="U449" s="264"/>
      <c r="V449" s="264"/>
      <c r="X449" s="264"/>
      <c r="Y449" s="264"/>
      <c r="Z449" s="264"/>
      <c r="AD449" s="34">
        <v>5.6</v>
      </c>
      <c r="AE449" s="337" t="str">
        <f t="shared" si="33"/>
        <v>~</v>
      </c>
      <c r="AF449" s="338">
        <v>6</v>
      </c>
      <c r="AG449" s="1426">
        <f t="shared" si="37"/>
        <v>0.40000000000000036</v>
      </c>
      <c r="AH449" s="1426"/>
      <c r="AI449" s="334"/>
      <c r="AJ449" s="26">
        <f t="shared" si="34"/>
        <v>15600</v>
      </c>
      <c r="AK449" s="339">
        <f t="shared" si="31"/>
        <v>0.11904761904761907</v>
      </c>
      <c r="AL449" s="1612"/>
      <c r="AM449" s="1613"/>
      <c r="AN449" s="1380">
        <f t="shared" si="32"/>
        <v>3.0525030525030559E-6</v>
      </c>
      <c r="AO449" s="1433"/>
      <c r="AP449" s="11"/>
      <c r="AQ449" s="28">
        <f>SUM(AG$444:AG448)+(AG449/2)</f>
        <v>0.20000000000000018</v>
      </c>
      <c r="AR449" s="29"/>
      <c r="AS449" s="871">
        <v>6</v>
      </c>
      <c r="AT449" s="871"/>
      <c r="AU449" s="1606">
        <f t="shared" si="35"/>
        <v>7</v>
      </c>
      <c r="AV449" s="1607"/>
      <c r="AX449" s="1628"/>
      <c r="AY449" s="1628"/>
      <c r="AZ449" s="1628"/>
      <c r="BA449" s="1628"/>
      <c r="BB449" s="1628"/>
      <c r="BC449" s="1626" t="s">
        <v>64</v>
      </c>
      <c r="BD449" s="1626"/>
      <c r="BE449" s="1626"/>
      <c r="BF449" s="1626"/>
      <c r="BG449" s="1626"/>
      <c r="BH449" s="1629"/>
      <c r="BI449" s="1629"/>
      <c r="BJ449" s="1629"/>
      <c r="BK449" s="1629"/>
      <c r="BL449" s="1629"/>
      <c r="CA449" s="5"/>
      <c r="CB449" s="5"/>
      <c r="CC449" s="5"/>
      <c r="CD449" s="5"/>
      <c r="CE449" s="5"/>
      <c r="CF449" s="5"/>
      <c r="CG449" s="5"/>
      <c r="CH449" s="5"/>
      <c r="CI449" s="5"/>
    </row>
    <row r="450" spans="1:87" ht="15" customHeight="1">
      <c r="A450" s="136"/>
      <c r="B450" s="261">
        <f t="shared" si="43"/>
        <v>0</v>
      </c>
      <c r="C450" s="262" t="s">
        <v>35</v>
      </c>
      <c r="D450" s="263">
        <f t="shared" si="38"/>
        <v>0</v>
      </c>
      <c r="E450" s="909">
        <f t="shared" si="39"/>
        <v>0</v>
      </c>
      <c r="F450" s="909"/>
      <c r="G450" s="910">
        <f t="shared" si="40"/>
        <v>0</v>
      </c>
      <c r="H450" s="910"/>
      <c r="I450" s="910"/>
      <c r="J450" s="912">
        <f t="shared" si="41"/>
        <v>25200</v>
      </c>
      <c r="K450" s="912"/>
      <c r="L450" s="912"/>
      <c r="M450" s="906">
        <f t="shared" si="42"/>
        <v>0.1</v>
      </c>
      <c r="N450" s="906"/>
      <c r="O450" s="907">
        <f t="shared" si="36"/>
        <v>0</v>
      </c>
      <c r="P450" s="907"/>
      <c r="Q450" s="908"/>
      <c r="S450" s="264"/>
      <c r="T450" s="264"/>
      <c r="U450" s="264"/>
      <c r="V450" s="264"/>
      <c r="X450" s="264"/>
      <c r="Y450" s="264"/>
      <c r="Z450" s="264"/>
      <c r="AD450" s="34">
        <f>+AF449</f>
        <v>6</v>
      </c>
      <c r="AE450" s="337" t="str">
        <f t="shared" si="33"/>
        <v>~</v>
      </c>
      <c r="AF450" s="338">
        <f t="shared" si="33"/>
        <v>7</v>
      </c>
      <c r="AG450" s="1426">
        <f t="shared" si="37"/>
        <v>1</v>
      </c>
      <c r="AH450" s="1426"/>
      <c r="AI450" s="334"/>
      <c r="AJ450" s="26">
        <f t="shared" si="34"/>
        <v>21600</v>
      </c>
      <c r="AK450" s="340">
        <f t="shared" si="31"/>
        <v>0.18571428571428575</v>
      </c>
      <c r="AL450" s="1624"/>
      <c r="AM450" s="1625"/>
      <c r="AN450" s="1380">
        <f t="shared" si="32"/>
        <v>8.5978835978835993E-6</v>
      </c>
      <c r="AO450" s="1433"/>
      <c r="AP450" s="11"/>
      <c r="AQ450" s="28">
        <f>SUM(AG$444:AG449)+(AG450/2)</f>
        <v>0.90000000000000036</v>
      </c>
      <c r="AR450" s="29"/>
      <c r="AS450" s="871">
        <v>7</v>
      </c>
      <c r="AT450" s="871"/>
      <c r="AU450" s="1606">
        <f t="shared" si="35"/>
        <v>12</v>
      </c>
      <c r="AV450" s="1607"/>
      <c r="AX450" s="1628" t="s">
        <v>65</v>
      </c>
      <c r="AY450" s="1628"/>
      <c r="AZ450" s="1628"/>
      <c r="BA450" s="1628"/>
      <c r="BB450" s="1628"/>
      <c r="BC450" s="1634" t="s">
        <v>66</v>
      </c>
      <c r="BD450" s="1634"/>
      <c r="BE450" s="1634"/>
      <c r="BF450" s="1634"/>
      <c r="BG450" s="1634"/>
      <c r="BH450" s="1634" t="s">
        <v>67</v>
      </c>
      <c r="BI450" s="1634"/>
      <c r="BJ450" s="1634"/>
      <c r="BK450" s="1634"/>
      <c r="BL450" s="1634"/>
      <c r="CA450" s="5"/>
      <c r="CB450" s="5"/>
      <c r="CC450" s="5"/>
      <c r="CD450" s="5"/>
      <c r="CE450" s="5"/>
      <c r="CF450" s="5"/>
      <c r="CG450" s="5"/>
      <c r="CH450" s="5"/>
      <c r="CI450" s="5"/>
    </row>
    <row r="451" spans="1:87" ht="15" customHeight="1">
      <c r="A451" s="136"/>
      <c r="B451" s="261">
        <v>5.6</v>
      </c>
      <c r="C451" s="262" t="s">
        <v>35</v>
      </c>
      <c r="D451" s="263">
        <f t="shared" si="38"/>
        <v>6</v>
      </c>
      <c r="E451" s="909">
        <f t="shared" si="39"/>
        <v>0.40000000000000036</v>
      </c>
      <c r="F451" s="909"/>
      <c r="G451" s="910">
        <f t="shared" si="40"/>
        <v>0.20000000000000018</v>
      </c>
      <c r="H451" s="910"/>
      <c r="I451" s="910"/>
      <c r="J451" s="912">
        <f t="shared" si="41"/>
        <v>15600</v>
      </c>
      <c r="K451" s="912"/>
      <c r="L451" s="912"/>
      <c r="M451" s="906">
        <f t="shared" si="42"/>
        <v>0.11904761904761907</v>
      </c>
      <c r="N451" s="906"/>
      <c r="O451" s="907">
        <f t="shared" si="36"/>
        <v>3.1E-6</v>
      </c>
      <c r="P451" s="907"/>
      <c r="Q451" s="908"/>
      <c r="S451" s="264"/>
      <c r="T451" s="264"/>
      <c r="U451" s="264"/>
      <c r="V451" s="264"/>
      <c r="X451" s="264"/>
      <c r="Y451" s="264"/>
      <c r="Z451" s="264"/>
      <c r="AD451" s="34">
        <f>+AF450</f>
        <v>7</v>
      </c>
      <c r="AE451" s="337" t="str">
        <f t="shared" si="33"/>
        <v>~</v>
      </c>
      <c r="AF451" s="338">
        <f t="shared" si="33"/>
        <v>8</v>
      </c>
      <c r="AG451" s="1426">
        <f t="shared" si="37"/>
        <v>1</v>
      </c>
      <c r="AH451" s="1426"/>
      <c r="AI451" s="334"/>
      <c r="AJ451" s="26">
        <f t="shared" si="34"/>
        <v>30000</v>
      </c>
      <c r="AK451" s="339">
        <f t="shared" si="31"/>
        <v>0.28095238095238095</v>
      </c>
      <c r="AL451" s="1624"/>
      <c r="AM451" s="1625"/>
      <c r="AN451" s="1380">
        <f t="shared" si="32"/>
        <v>9.3650793650793644E-6</v>
      </c>
      <c r="AO451" s="1433"/>
      <c r="AP451" s="11"/>
      <c r="AQ451" s="28">
        <f>SUM(AG$444:AG450)+(AG451/2)</f>
        <v>1.9000000000000004</v>
      </c>
      <c r="AR451" s="29"/>
      <c r="AS451" s="871">
        <v>8</v>
      </c>
      <c r="AT451" s="871"/>
      <c r="AU451" s="1606">
        <f t="shared" si="35"/>
        <v>19</v>
      </c>
      <c r="AV451" s="1607"/>
      <c r="AX451" s="1628" t="s">
        <v>68</v>
      </c>
      <c r="AY451" s="1628"/>
      <c r="AZ451" s="1628"/>
      <c r="BA451" s="1628"/>
      <c r="BB451" s="1628"/>
      <c r="BC451" s="1634" t="s">
        <v>69</v>
      </c>
      <c r="BD451" s="1634"/>
      <c r="BE451" s="1634"/>
      <c r="BF451" s="1634"/>
      <c r="BG451" s="1634"/>
      <c r="BH451" s="1634" t="s">
        <v>70</v>
      </c>
      <c r="BI451" s="1634"/>
      <c r="BJ451" s="1634"/>
      <c r="BK451" s="1634"/>
      <c r="BL451" s="1634"/>
      <c r="BZ451" s="5"/>
      <c r="CA451" s="5"/>
      <c r="CB451" s="5"/>
      <c r="CC451" s="5"/>
      <c r="CD451" s="5"/>
      <c r="CE451" s="5"/>
      <c r="CF451" s="5"/>
      <c r="CG451" s="5"/>
      <c r="CH451" s="5"/>
      <c r="CI451" s="5"/>
    </row>
    <row r="452" spans="1:87" ht="15" customHeight="1">
      <c r="A452" s="136"/>
      <c r="B452" s="261">
        <f t="shared" si="43"/>
        <v>6</v>
      </c>
      <c r="C452" s="262" t="s">
        <v>35</v>
      </c>
      <c r="D452" s="263">
        <f t="shared" si="38"/>
        <v>7</v>
      </c>
      <c r="E452" s="909">
        <f t="shared" si="39"/>
        <v>1</v>
      </c>
      <c r="F452" s="909"/>
      <c r="G452" s="910">
        <f t="shared" si="40"/>
        <v>0.90000000000000036</v>
      </c>
      <c r="H452" s="910"/>
      <c r="I452" s="910"/>
      <c r="J452" s="912">
        <f t="shared" si="41"/>
        <v>21600</v>
      </c>
      <c r="K452" s="912"/>
      <c r="L452" s="912"/>
      <c r="M452" s="906">
        <f t="shared" si="42"/>
        <v>0.18571428571428575</v>
      </c>
      <c r="N452" s="906"/>
      <c r="O452" s="907">
        <f t="shared" si="36"/>
        <v>8.6000000000000007E-6</v>
      </c>
      <c r="P452" s="907"/>
      <c r="Q452" s="908"/>
      <c r="S452" s="264"/>
      <c r="T452" s="264"/>
      <c r="U452" s="264"/>
      <c r="V452" s="264"/>
      <c r="X452" s="264"/>
      <c r="Y452" s="264"/>
      <c r="Z452" s="264"/>
      <c r="AD452" s="34">
        <f t="shared" ref="AD452:AF466" si="44">+AD329</f>
        <v>8</v>
      </c>
      <c r="AE452" s="337" t="str">
        <f t="shared" si="33"/>
        <v>~</v>
      </c>
      <c r="AF452" s="338">
        <f t="shared" si="33"/>
        <v>9</v>
      </c>
      <c r="AG452" s="1426">
        <f t="shared" si="37"/>
        <v>1</v>
      </c>
      <c r="AH452" s="1426"/>
      <c r="AI452" s="334"/>
      <c r="AJ452" s="26">
        <f t="shared" si="34"/>
        <v>9900</v>
      </c>
      <c r="AK452" s="339">
        <f t="shared" si="31"/>
        <v>0.37619047619047624</v>
      </c>
      <c r="AL452" s="1624"/>
      <c r="AM452" s="1625"/>
      <c r="AN452" s="1380">
        <f t="shared" si="32"/>
        <v>3.7999037999038005E-5</v>
      </c>
      <c r="AO452" s="1433"/>
      <c r="AP452" s="11"/>
      <c r="AQ452" s="28">
        <f>SUM(AG$444:AG451)+(AG452/2)</f>
        <v>2.9000000000000004</v>
      </c>
      <c r="AR452" s="29"/>
      <c r="AS452" s="871">
        <v>9</v>
      </c>
      <c r="AT452" s="871"/>
      <c r="AU452" s="1606">
        <f t="shared" si="35"/>
        <v>27</v>
      </c>
      <c r="AV452" s="1607"/>
      <c r="AX452" s="1628" t="s">
        <v>72</v>
      </c>
      <c r="AY452" s="1628"/>
      <c r="AZ452" s="1628"/>
      <c r="BA452" s="1628"/>
      <c r="BB452" s="1628"/>
      <c r="BC452" s="1631" t="s">
        <v>73</v>
      </c>
      <c r="BD452" s="1631"/>
      <c r="BE452" s="1631"/>
      <c r="BF452" s="1631"/>
      <c r="BG452" s="1631"/>
      <c r="BH452" s="1634"/>
      <c r="BI452" s="1634"/>
      <c r="BJ452" s="1634"/>
      <c r="BK452" s="1634"/>
      <c r="BL452" s="1634"/>
      <c r="BZ452" s="5"/>
      <c r="CF452" s="5"/>
      <c r="CG452" s="5"/>
      <c r="CH452" s="5"/>
      <c r="CI452" s="5"/>
    </row>
    <row r="453" spans="1:87" ht="15" customHeight="1">
      <c r="A453" s="136"/>
      <c r="B453" s="261">
        <v>7.9</v>
      </c>
      <c r="C453" s="262" t="s">
        <v>35</v>
      </c>
      <c r="D453" s="263">
        <f t="shared" si="38"/>
        <v>8</v>
      </c>
      <c r="E453" s="909">
        <f t="shared" si="39"/>
        <v>9.9999999999999645E-2</v>
      </c>
      <c r="F453" s="909"/>
      <c r="G453" s="910">
        <f t="shared" si="40"/>
        <v>1.9000000000000004</v>
      </c>
      <c r="H453" s="910"/>
      <c r="I453" s="910"/>
      <c r="J453" s="912">
        <f t="shared" si="41"/>
        <v>30000</v>
      </c>
      <c r="K453" s="912"/>
      <c r="L453" s="912"/>
      <c r="M453" s="906">
        <f t="shared" si="42"/>
        <v>0.28095238095238095</v>
      </c>
      <c r="N453" s="906"/>
      <c r="O453" s="907">
        <f t="shared" si="36"/>
        <v>8.9999999999999996E-7</v>
      </c>
      <c r="P453" s="907"/>
      <c r="Q453" s="908"/>
      <c r="S453" s="264"/>
      <c r="T453" s="264"/>
      <c r="U453" s="264"/>
      <c r="V453" s="264"/>
      <c r="X453" s="264"/>
      <c r="Y453" s="264"/>
      <c r="Z453" s="264"/>
      <c r="AD453" s="34">
        <f t="shared" si="44"/>
        <v>9</v>
      </c>
      <c r="AE453" s="337" t="str">
        <f t="shared" si="33"/>
        <v>~</v>
      </c>
      <c r="AF453" s="338">
        <f t="shared" si="33"/>
        <v>10</v>
      </c>
      <c r="AG453" s="1426">
        <f t="shared" si="37"/>
        <v>1</v>
      </c>
      <c r="AH453" s="1426"/>
      <c r="AI453" s="334"/>
      <c r="AJ453" s="26">
        <f t="shared" si="34"/>
        <v>25000</v>
      </c>
      <c r="AK453" s="339">
        <f t="shared" si="31"/>
        <v>0.47142857142857142</v>
      </c>
      <c r="AL453" s="1624"/>
      <c r="AM453" s="1625"/>
      <c r="AN453" s="1380">
        <f t="shared" si="32"/>
        <v>1.8857142857142856E-5</v>
      </c>
      <c r="AO453" s="1433"/>
      <c r="AP453" s="11"/>
      <c r="AQ453" s="28">
        <f>SUM(AG$444:AG452)+(AG453/2)</f>
        <v>3.9000000000000004</v>
      </c>
      <c r="AR453" s="29"/>
      <c r="AS453" s="871">
        <v>10</v>
      </c>
      <c r="AT453" s="871"/>
      <c r="AU453" s="1606">
        <f t="shared" si="35"/>
        <v>35</v>
      </c>
      <c r="AV453" s="1607"/>
      <c r="AX453" s="1628" t="s">
        <v>75</v>
      </c>
      <c r="AY453" s="1628"/>
      <c r="AZ453" s="1628"/>
      <c r="BA453" s="1628"/>
      <c r="BB453" s="1628"/>
      <c r="BC453" s="1635"/>
      <c r="BD453" s="1635"/>
      <c r="BE453" s="1635"/>
      <c r="BF453" s="1635"/>
      <c r="BG453" s="1635"/>
      <c r="BH453" s="1634" t="s">
        <v>76</v>
      </c>
      <c r="BI453" s="1634"/>
      <c r="BJ453" s="1634"/>
      <c r="BK453" s="1634"/>
      <c r="BL453" s="1634"/>
      <c r="BZ453" s="5"/>
      <c r="CF453" s="5"/>
      <c r="CG453" s="5"/>
      <c r="CH453" s="5"/>
      <c r="CI453" s="5"/>
    </row>
    <row r="454" spans="1:87" ht="15" customHeight="1">
      <c r="A454" s="136"/>
      <c r="B454" s="261">
        <f t="shared" si="43"/>
        <v>8</v>
      </c>
      <c r="C454" s="262" t="s">
        <v>35</v>
      </c>
      <c r="D454" s="263">
        <f t="shared" si="38"/>
        <v>9</v>
      </c>
      <c r="E454" s="909">
        <f t="shared" si="39"/>
        <v>1</v>
      </c>
      <c r="F454" s="909"/>
      <c r="G454" s="910">
        <f t="shared" si="40"/>
        <v>2.9000000000000004</v>
      </c>
      <c r="H454" s="910"/>
      <c r="I454" s="910"/>
      <c r="J454" s="912">
        <f t="shared" si="41"/>
        <v>9900</v>
      </c>
      <c r="K454" s="912"/>
      <c r="L454" s="912"/>
      <c r="M454" s="906">
        <f t="shared" si="42"/>
        <v>0.37619047619047624</v>
      </c>
      <c r="N454" s="906"/>
      <c r="O454" s="907">
        <f t="shared" si="36"/>
        <v>3.8000000000000002E-5</v>
      </c>
      <c r="P454" s="907"/>
      <c r="Q454" s="908"/>
      <c r="S454" s="264"/>
      <c r="T454" s="264"/>
      <c r="U454" s="264"/>
      <c r="V454" s="264"/>
      <c r="X454" s="264"/>
      <c r="Y454" s="264"/>
      <c r="Z454" s="264"/>
      <c r="AD454" s="34">
        <f t="shared" si="44"/>
        <v>10</v>
      </c>
      <c r="AE454" s="337" t="str">
        <f t="shared" si="33"/>
        <v>~</v>
      </c>
      <c r="AF454" s="338">
        <f t="shared" si="33"/>
        <v>11</v>
      </c>
      <c r="AG454" s="1426">
        <f t="shared" si="37"/>
        <v>1</v>
      </c>
      <c r="AH454" s="1426"/>
      <c r="AI454" s="334"/>
      <c r="AJ454" s="26">
        <f t="shared" si="34"/>
        <v>27000</v>
      </c>
      <c r="AK454" s="339">
        <f t="shared" si="31"/>
        <v>0.47222222222222215</v>
      </c>
      <c r="AL454" s="1624"/>
      <c r="AM454" s="1625"/>
      <c r="AN454" s="1380">
        <f t="shared" si="32"/>
        <v>1.7489711934156377E-5</v>
      </c>
      <c r="AO454" s="1433"/>
      <c r="AP454" s="11"/>
      <c r="AQ454" s="28">
        <f>SUM(AG$444:AG453)+(AG454/2)</f>
        <v>4.9000000000000004</v>
      </c>
      <c r="AR454" s="44"/>
      <c r="AS454" s="871">
        <v>11</v>
      </c>
      <c r="AT454" s="871"/>
      <c r="AU454" s="1606">
        <f t="shared" si="35"/>
        <v>39</v>
      </c>
      <c r="AV454" s="1607"/>
      <c r="AX454" s="1149" t="s">
        <v>78</v>
      </c>
      <c r="AY454" s="1150"/>
      <c r="AZ454" s="1150"/>
      <c r="BA454" s="1150"/>
      <c r="BB454" s="1151"/>
      <c r="BC454" s="1633" t="s">
        <v>79</v>
      </c>
      <c r="BD454" s="1633"/>
      <c r="BE454" s="1633"/>
      <c r="BF454" s="1633"/>
      <c r="BG454" s="1633"/>
      <c r="BH454" s="1632" t="s">
        <v>80</v>
      </c>
      <c r="BI454" s="1632"/>
      <c r="BJ454" s="1632"/>
      <c r="BK454" s="1632"/>
      <c r="BL454" s="1632"/>
      <c r="BZ454" s="5"/>
      <c r="CF454" s="5"/>
      <c r="CG454" s="5"/>
      <c r="CH454" s="5"/>
      <c r="CI454" s="5"/>
    </row>
    <row r="455" spans="1:87" ht="15" customHeight="1">
      <c r="A455" s="136"/>
      <c r="B455" s="261">
        <f t="shared" si="43"/>
        <v>9</v>
      </c>
      <c r="C455" s="262" t="s">
        <v>35</v>
      </c>
      <c r="D455" s="263">
        <f t="shared" si="38"/>
        <v>10</v>
      </c>
      <c r="E455" s="909">
        <f t="shared" si="39"/>
        <v>1</v>
      </c>
      <c r="F455" s="909"/>
      <c r="G455" s="910">
        <f t="shared" si="40"/>
        <v>3.9000000000000004</v>
      </c>
      <c r="H455" s="910"/>
      <c r="I455" s="910"/>
      <c r="J455" s="912">
        <f t="shared" si="41"/>
        <v>25000</v>
      </c>
      <c r="K455" s="912"/>
      <c r="L455" s="912"/>
      <c r="M455" s="906">
        <f t="shared" si="42"/>
        <v>0.47142857142857142</v>
      </c>
      <c r="N455" s="906"/>
      <c r="O455" s="907">
        <f t="shared" si="36"/>
        <v>1.8899999999999999E-5</v>
      </c>
      <c r="P455" s="907"/>
      <c r="Q455" s="908"/>
      <c r="S455" s="264"/>
      <c r="T455" s="264"/>
      <c r="U455" s="264"/>
      <c r="V455" s="264"/>
      <c r="X455" s="264"/>
      <c r="Y455" s="264"/>
      <c r="Z455" s="264"/>
      <c r="AD455" s="41">
        <f t="shared" si="44"/>
        <v>11</v>
      </c>
      <c r="AE455" s="341" t="str">
        <f t="shared" si="33"/>
        <v>~</v>
      </c>
      <c r="AF455" s="342">
        <f t="shared" si="33"/>
        <v>12</v>
      </c>
      <c r="AG455" s="1426">
        <f t="shared" si="37"/>
        <v>1</v>
      </c>
      <c r="AH455" s="1426"/>
      <c r="AI455" s="334"/>
      <c r="AJ455" s="26">
        <f t="shared" si="34"/>
        <v>30500</v>
      </c>
      <c r="AK455" s="339">
        <f t="shared" si="31"/>
        <v>0.4325396825396825</v>
      </c>
      <c r="AL455" s="1624"/>
      <c r="AM455" s="1625"/>
      <c r="AN455" s="1380">
        <f t="shared" si="32"/>
        <v>1.4181628935727295E-5</v>
      </c>
      <c r="AO455" s="1433"/>
      <c r="AP455" s="11"/>
      <c r="AQ455" s="28">
        <f>SUM(AG$444:AG454)+(AG455/2)</f>
        <v>5.9</v>
      </c>
      <c r="AR455" s="52"/>
      <c r="AS455" s="871">
        <v>12</v>
      </c>
      <c r="AT455" s="871"/>
      <c r="AU455" s="1606">
        <f t="shared" si="35"/>
        <v>46</v>
      </c>
      <c r="AV455" s="1607"/>
      <c r="AX455" s="1155"/>
      <c r="AY455" s="1156"/>
      <c r="AZ455" s="1156"/>
      <c r="BA455" s="1156"/>
      <c r="BB455" s="1157"/>
      <c r="BC455" s="1630" t="s">
        <v>82</v>
      </c>
      <c r="BD455" s="1630"/>
      <c r="BE455" s="1630"/>
      <c r="BF455" s="1630"/>
      <c r="BG455" s="1630"/>
      <c r="BH455" s="1630" t="s">
        <v>83</v>
      </c>
      <c r="BI455" s="1630"/>
      <c r="BJ455" s="1630"/>
      <c r="BK455" s="1630"/>
      <c r="BL455" s="1630"/>
      <c r="BZ455" s="5"/>
      <c r="CF455" s="5"/>
      <c r="CG455" s="5"/>
      <c r="CH455" s="5"/>
      <c r="CI455" s="5"/>
    </row>
    <row r="456" spans="1:87" ht="15" customHeight="1">
      <c r="A456" s="136"/>
      <c r="B456" s="261">
        <f t="shared" si="43"/>
        <v>10</v>
      </c>
      <c r="C456" s="262" t="s">
        <v>96</v>
      </c>
      <c r="D456" s="263">
        <f t="shared" si="38"/>
        <v>11</v>
      </c>
      <c r="E456" s="909">
        <f t="shared" si="39"/>
        <v>1</v>
      </c>
      <c r="F456" s="909"/>
      <c r="G456" s="910">
        <f t="shared" si="40"/>
        <v>4.9000000000000004</v>
      </c>
      <c r="H456" s="910"/>
      <c r="I456" s="910"/>
      <c r="J456" s="912">
        <f t="shared" si="41"/>
        <v>27000</v>
      </c>
      <c r="K456" s="912"/>
      <c r="L456" s="912"/>
      <c r="M456" s="906">
        <f t="shared" si="42"/>
        <v>0.47222222222222215</v>
      </c>
      <c r="N456" s="906"/>
      <c r="O456" s="907">
        <f t="shared" si="36"/>
        <v>1.7499999999999998E-5</v>
      </c>
      <c r="P456" s="907"/>
      <c r="Q456" s="908"/>
      <c r="S456" s="264"/>
      <c r="T456" s="264"/>
      <c r="U456" s="264"/>
      <c r="V456" s="264"/>
      <c r="X456" s="264"/>
      <c r="Y456" s="264"/>
      <c r="Z456" s="264"/>
      <c r="AD456" s="41">
        <f t="shared" si="44"/>
        <v>12</v>
      </c>
      <c r="AE456" s="341" t="str">
        <f t="shared" si="33"/>
        <v>~</v>
      </c>
      <c r="AF456" s="342">
        <f t="shared" si="33"/>
        <v>13</v>
      </c>
      <c r="AG456" s="1426">
        <f t="shared" si="37"/>
        <v>1</v>
      </c>
      <c r="AH456" s="1426"/>
      <c r="AI456" s="334"/>
      <c r="AJ456" s="26">
        <f t="shared" si="34"/>
        <v>31000</v>
      </c>
      <c r="AK456" s="339">
        <f t="shared" si="31"/>
        <v>0.39285714285714285</v>
      </c>
      <c r="AL456" s="1624"/>
      <c r="AM456" s="1625"/>
      <c r="AN456" s="1380">
        <f t="shared" si="32"/>
        <v>1.2672811059907833E-5</v>
      </c>
      <c r="AO456" s="1433"/>
      <c r="AQ456" s="28">
        <f>SUM(AG$444:AG455)+(AG456/2)</f>
        <v>6.9</v>
      </c>
      <c r="AR456" s="57"/>
      <c r="AS456" s="871">
        <v>13</v>
      </c>
      <c r="AT456" s="871"/>
      <c r="AU456" s="1606">
        <f t="shared" si="35"/>
        <v>47</v>
      </c>
      <c r="AV456" s="1607"/>
      <c r="AX456" s="1628" t="s">
        <v>85</v>
      </c>
      <c r="AY456" s="1628"/>
      <c r="AZ456" s="1628"/>
      <c r="BA456" s="1628"/>
      <c r="BB456" s="1628"/>
      <c r="BC456" s="1626" t="s">
        <v>86</v>
      </c>
      <c r="BD456" s="1626"/>
      <c r="BE456" s="1626"/>
      <c r="BF456" s="1626"/>
      <c r="BG456" s="1626"/>
      <c r="BH456" s="1629" t="s">
        <v>87</v>
      </c>
      <c r="BI456" s="1629"/>
      <c r="BJ456" s="1629"/>
      <c r="BK456" s="1629"/>
      <c r="BL456" s="1629"/>
      <c r="BZ456" s="5"/>
      <c r="CF456" s="5"/>
      <c r="CG456" s="5"/>
      <c r="CH456" s="5"/>
      <c r="CI456" s="5"/>
    </row>
    <row r="457" spans="1:87" ht="15" customHeight="1">
      <c r="A457" s="136"/>
      <c r="B457" s="261">
        <f t="shared" si="43"/>
        <v>11</v>
      </c>
      <c r="C457" s="262" t="s">
        <v>96</v>
      </c>
      <c r="D457" s="263">
        <f t="shared" si="38"/>
        <v>12</v>
      </c>
      <c r="E457" s="909">
        <f t="shared" si="39"/>
        <v>1</v>
      </c>
      <c r="F457" s="909"/>
      <c r="G457" s="910">
        <f t="shared" si="40"/>
        <v>5.9</v>
      </c>
      <c r="H457" s="910"/>
      <c r="I457" s="910"/>
      <c r="J457" s="912">
        <f t="shared" si="41"/>
        <v>30500</v>
      </c>
      <c r="K457" s="912"/>
      <c r="L457" s="912"/>
      <c r="M457" s="906">
        <f t="shared" si="42"/>
        <v>0.4325396825396825</v>
      </c>
      <c r="N457" s="906"/>
      <c r="O457" s="907">
        <f t="shared" si="36"/>
        <v>1.42E-5</v>
      </c>
      <c r="P457" s="907"/>
      <c r="Q457" s="908"/>
      <c r="S457" s="264"/>
      <c r="T457" s="264"/>
      <c r="U457" s="264"/>
      <c r="V457" s="264"/>
      <c r="X457" s="264"/>
      <c r="Y457" s="264"/>
      <c r="Z457" s="264"/>
      <c r="AD457" s="41">
        <f t="shared" si="44"/>
        <v>13</v>
      </c>
      <c r="AE457" s="341" t="str">
        <f t="shared" si="33"/>
        <v>~</v>
      </c>
      <c r="AF457" s="342">
        <f t="shared" si="33"/>
        <v>14</v>
      </c>
      <c r="AG457" s="1426">
        <f t="shared" si="37"/>
        <v>1</v>
      </c>
      <c r="AH457" s="1426"/>
      <c r="AI457" s="334"/>
      <c r="AJ457" s="26">
        <f t="shared" si="34"/>
        <v>33000</v>
      </c>
      <c r="AK457" s="339">
        <f t="shared" si="31"/>
        <v>0.3531746031746032</v>
      </c>
      <c r="AL457" s="1624"/>
      <c r="AM457" s="1625"/>
      <c r="AN457" s="1380">
        <f t="shared" si="32"/>
        <v>1.0702260702260703E-5</v>
      </c>
      <c r="AO457" s="1433"/>
      <c r="AQ457" s="28">
        <f>SUM(AG$444:AG456)+(AG457/2)</f>
        <v>7.9</v>
      </c>
      <c r="AR457" s="57"/>
      <c r="AS457" s="871">
        <v>14</v>
      </c>
      <c r="AT457" s="871"/>
      <c r="AU457" s="1606">
        <f t="shared" si="35"/>
        <v>51</v>
      </c>
      <c r="AV457" s="1607"/>
      <c r="AX457" s="1627"/>
      <c r="AY457" s="1627"/>
      <c r="AZ457" s="1627"/>
      <c r="BA457" s="1627"/>
      <c r="BB457" s="1627"/>
      <c r="BC457" s="1626" t="s">
        <v>92</v>
      </c>
      <c r="BD457" s="1626"/>
      <c r="BE457" s="1626"/>
      <c r="BF457" s="1626"/>
      <c r="BG457" s="1626"/>
      <c r="BH457" s="1626" t="s">
        <v>93</v>
      </c>
      <c r="BI457" s="1626"/>
      <c r="BJ457" s="1626"/>
      <c r="BK457" s="1626"/>
      <c r="BL457" s="1626"/>
      <c r="BZ457" s="5"/>
      <c r="CF457" s="5"/>
      <c r="CG457" s="5"/>
      <c r="CH457" s="5"/>
      <c r="CI457" s="5"/>
    </row>
    <row r="458" spans="1:87" ht="15" customHeight="1">
      <c r="A458" s="136"/>
      <c r="B458" s="261">
        <f t="shared" si="43"/>
        <v>12</v>
      </c>
      <c r="C458" s="262" t="s">
        <v>96</v>
      </c>
      <c r="D458" s="263">
        <f t="shared" si="38"/>
        <v>13</v>
      </c>
      <c r="E458" s="909">
        <f t="shared" si="39"/>
        <v>1</v>
      </c>
      <c r="F458" s="909"/>
      <c r="G458" s="910">
        <f t="shared" si="40"/>
        <v>6.9</v>
      </c>
      <c r="H458" s="910"/>
      <c r="I458" s="910"/>
      <c r="J458" s="912">
        <f t="shared" si="41"/>
        <v>31000</v>
      </c>
      <c r="K458" s="912"/>
      <c r="L458" s="912"/>
      <c r="M458" s="906">
        <f t="shared" si="42"/>
        <v>0.39285714285714285</v>
      </c>
      <c r="N458" s="906"/>
      <c r="O458" s="907">
        <f t="shared" si="36"/>
        <v>1.27E-5</v>
      </c>
      <c r="P458" s="907"/>
      <c r="Q458" s="908"/>
      <c r="S458" s="264"/>
      <c r="T458" s="264"/>
      <c r="U458" s="264"/>
      <c r="V458" s="264"/>
      <c r="X458" s="264"/>
      <c r="Y458" s="264"/>
      <c r="Z458" s="264"/>
      <c r="AD458" s="41">
        <f t="shared" si="44"/>
        <v>14</v>
      </c>
      <c r="AE458" s="341" t="str">
        <f t="shared" si="33"/>
        <v>~</v>
      </c>
      <c r="AF458" s="342">
        <f t="shared" si="33"/>
        <v>15</v>
      </c>
      <c r="AG458" s="1426">
        <f t="shared" si="37"/>
        <v>1</v>
      </c>
      <c r="AH458" s="1426"/>
      <c r="AI458" s="334"/>
      <c r="AJ458" s="26">
        <f t="shared" si="34"/>
        <v>36000</v>
      </c>
      <c r="AK458" s="339">
        <f t="shared" si="31"/>
        <v>0.31349206349206349</v>
      </c>
      <c r="AL458" s="1624"/>
      <c r="AM458" s="1625"/>
      <c r="AN458" s="1380">
        <f t="shared" si="32"/>
        <v>8.7081128747795409E-6</v>
      </c>
      <c r="AO458" s="1433"/>
      <c r="AQ458" s="28">
        <f>SUM(AG$444:AG457)+(AG458/2)</f>
        <v>8.9</v>
      </c>
      <c r="AR458" s="57"/>
      <c r="AS458" s="871">
        <v>15</v>
      </c>
      <c r="AT458" s="871"/>
      <c r="AU458" s="1606">
        <f t="shared" si="35"/>
        <v>57</v>
      </c>
      <c r="AV458" s="1607"/>
      <c r="BH458" s="15"/>
      <c r="BI458" s="15"/>
      <c r="BJ458" s="15"/>
      <c r="BK458" s="15"/>
      <c r="BL458" s="15"/>
      <c r="BZ458" s="5"/>
      <c r="CA458" s="5"/>
      <c r="CB458" s="5"/>
      <c r="CC458" s="5"/>
      <c r="CD458" s="5"/>
      <c r="CE458" s="5"/>
      <c r="CF458" s="5"/>
    </row>
    <row r="459" spans="1:87" ht="15" customHeight="1">
      <c r="A459" s="136"/>
      <c r="B459" s="261">
        <f t="shared" si="43"/>
        <v>13</v>
      </c>
      <c r="C459" s="262" t="s">
        <v>96</v>
      </c>
      <c r="D459" s="263">
        <f t="shared" si="38"/>
        <v>14</v>
      </c>
      <c r="E459" s="909">
        <f t="shared" si="39"/>
        <v>1</v>
      </c>
      <c r="F459" s="909"/>
      <c r="G459" s="910">
        <f t="shared" si="40"/>
        <v>7.9</v>
      </c>
      <c r="H459" s="910"/>
      <c r="I459" s="910"/>
      <c r="J459" s="912">
        <f t="shared" si="41"/>
        <v>33000</v>
      </c>
      <c r="K459" s="912"/>
      <c r="L459" s="912"/>
      <c r="M459" s="906">
        <f t="shared" si="42"/>
        <v>0.3531746031746032</v>
      </c>
      <c r="N459" s="906"/>
      <c r="O459" s="907">
        <f t="shared" si="36"/>
        <v>1.0699999999999999E-5</v>
      </c>
      <c r="P459" s="907"/>
      <c r="Q459" s="908"/>
      <c r="S459" s="264"/>
      <c r="T459" s="264"/>
      <c r="U459" s="264"/>
      <c r="V459" s="264"/>
      <c r="X459" s="264"/>
      <c r="Y459" s="264"/>
      <c r="Z459" s="264"/>
      <c r="AD459" s="41">
        <f t="shared" si="44"/>
        <v>15</v>
      </c>
      <c r="AE459" s="341" t="str">
        <f t="shared" si="33"/>
        <v>~</v>
      </c>
      <c r="AF459" s="342">
        <f t="shared" si="33"/>
        <v>16</v>
      </c>
      <c r="AG459" s="1426">
        <f t="shared" si="37"/>
        <v>1</v>
      </c>
      <c r="AH459" s="1426"/>
      <c r="AI459" s="334"/>
      <c r="AJ459" s="26">
        <f t="shared" si="34"/>
        <v>49000</v>
      </c>
      <c r="AK459" s="339">
        <f t="shared" si="31"/>
        <v>0.27380952380952378</v>
      </c>
      <c r="AL459" s="1624"/>
      <c r="AM459" s="1625"/>
      <c r="AN459" s="1380">
        <f t="shared" si="32"/>
        <v>5.5879494655004852E-6</v>
      </c>
      <c r="AO459" s="1433"/>
      <c r="AQ459" s="28">
        <f>SUM(AG$444:AG458)+(AG459/2)</f>
        <v>9.9</v>
      </c>
      <c r="AR459" s="57"/>
      <c r="AS459" s="871">
        <v>16</v>
      </c>
      <c r="AT459" s="871"/>
      <c r="AU459" s="1606">
        <f t="shared" si="35"/>
        <v>83</v>
      </c>
      <c r="AV459" s="1607"/>
      <c r="BH459" s="15"/>
      <c r="BI459" s="15"/>
      <c r="BJ459" s="15"/>
      <c r="BK459" s="15"/>
      <c r="BL459" s="15"/>
      <c r="BZ459" s="5"/>
      <c r="CA459" s="5"/>
      <c r="CB459" s="5"/>
      <c r="CC459" s="5"/>
      <c r="CD459" s="5"/>
      <c r="CE459" s="5"/>
    </row>
    <row r="460" spans="1:87" ht="15" customHeight="1">
      <c r="A460" s="136"/>
      <c r="B460" s="261">
        <f t="shared" si="43"/>
        <v>14</v>
      </c>
      <c r="C460" s="262" t="s">
        <v>96</v>
      </c>
      <c r="D460" s="263">
        <f t="shared" si="38"/>
        <v>15</v>
      </c>
      <c r="E460" s="909">
        <f t="shared" si="39"/>
        <v>1</v>
      </c>
      <c r="F460" s="909"/>
      <c r="G460" s="910">
        <f t="shared" si="40"/>
        <v>8.9</v>
      </c>
      <c r="H460" s="910"/>
      <c r="I460" s="910"/>
      <c r="J460" s="912">
        <f t="shared" si="41"/>
        <v>36000</v>
      </c>
      <c r="K460" s="912"/>
      <c r="L460" s="912"/>
      <c r="M460" s="906">
        <f t="shared" si="42"/>
        <v>0.31349206349206349</v>
      </c>
      <c r="N460" s="906"/>
      <c r="O460" s="907">
        <f t="shared" si="36"/>
        <v>8.6999999999999997E-6</v>
      </c>
      <c r="P460" s="907"/>
      <c r="Q460" s="908"/>
      <c r="S460" s="264"/>
      <c r="T460" s="264"/>
      <c r="U460" s="264"/>
      <c r="V460" s="264"/>
      <c r="X460" s="264"/>
      <c r="Y460" s="264"/>
      <c r="Z460" s="264"/>
      <c r="AD460" s="41">
        <f t="shared" si="44"/>
        <v>16</v>
      </c>
      <c r="AE460" s="341" t="str">
        <f t="shared" si="33"/>
        <v>~</v>
      </c>
      <c r="AF460" s="342">
        <f t="shared" si="33"/>
        <v>17</v>
      </c>
      <c r="AG460" s="1426">
        <f t="shared" si="37"/>
        <v>1</v>
      </c>
      <c r="AH460" s="1426"/>
      <c r="AI460" s="334"/>
      <c r="AJ460" s="26">
        <f t="shared" si="34"/>
        <v>54000</v>
      </c>
      <c r="AK460" s="339">
        <f t="shared" si="31"/>
        <v>0.2341269841269841</v>
      </c>
      <c r="AL460" s="1624"/>
      <c r="AM460" s="1625"/>
      <c r="AN460" s="1380">
        <f t="shared" si="32"/>
        <v>4.3356848912404466E-6</v>
      </c>
      <c r="AO460" s="1433"/>
      <c r="AQ460" s="28">
        <f>SUM(AG$444:AG459)+(AG460/2)</f>
        <v>10.9</v>
      </c>
      <c r="AR460" s="57"/>
      <c r="AS460" s="871">
        <v>17</v>
      </c>
      <c r="AT460" s="871"/>
      <c r="AU460" s="1606">
        <f t="shared" si="35"/>
        <v>93</v>
      </c>
      <c r="AV460" s="1607"/>
      <c r="BH460" s="15"/>
      <c r="BI460" s="15"/>
      <c r="BJ460" s="15"/>
      <c r="BK460" s="15"/>
      <c r="BL460" s="15"/>
      <c r="BZ460" s="5"/>
      <c r="CA460" s="5"/>
      <c r="CB460" s="5"/>
      <c r="CC460" s="5"/>
      <c r="CD460" s="5"/>
      <c r="CE460" s="5"/>
    </row>
    <row r="461" spans="1:87" ht="15" customHeight="1">
      <c r="A461" s="136"/>
      <c r="B461" s="261">
        <f t="shared" si="43"/>
        <v>15</v>
      </c>
      <c r="C461" s="262" t="s">
        <v>96</v>
      </c>
      <c r="D461" s="263">
        <f t="shared" si="38"/>
        <v>16</v>
      </c>
      <c r="E461" s="909">
        <f t="shared" si="39"/>
        <v>1</v>
      </c>
      <c r="F461" s="909"/>
      <c r="G461" s="910">
        <f t="shared" si="40"/>
        <v>9.9</v>
      </c>
      <c r="H461" s="910"/>
      <c r="I461" s="910"/>
      <c r="J461" s="912">
        <f t="shared" si="41"/>
        <v>49000</v>
      </c>
      <c r="K461" s="912"/>
      <c r="L461" s="912"/>
      <c r="M461" s="906">
        <f t="shared" si="42"/>
        <v>0.27380952380952378</v>
      </c>
      <c r="N461" s="906"/>
      <c r="O461" s="907">
        <f t="shared" si="36"/>
        <v>5.5999999999999997E-6</v>
      </c>
      <c r="P461" s="907"/>
      <c r="Q461" s="908"/>
      <c r="S461" s="264"/>
      <c r="T461" s="264"/>
      <c r="U461" s="264"/>
      <c r="V461" s="264"/>
      <c r="X461" s="264"/>
      <c r="Y461" s="264"/>
      <c r="Z461" s="264"/>
      <c r="AD461" s="41">
        <f t="shared" si="44"/>
        <v>17</v>
      </c>
      <c r="AE461" s="341" t="str">
        <f t="shared" si="44"/>
        <v>~</v>
      </c>
      <c r="AF461" s="342">
        <f t="shared" si="44"/>
        <v>18</v>
      </c>
      <c r="AG461" s="1426">
        <f t="shared" si="37"/>
        <v>1</v>
      </c>
      <c r="AH461" s="1426"/>
      <c r="AI461" s="334"/>
      <c r="AJ461" s="26">
        <f t="shared" si="34"/>
        <v>70000</v>
      </c>
      <c r="AK461" s="339">
        <f t="shared" si="31"/>
        <v>0.19444444444444442</v>
      </c>
      <c r="AL461" s="1624"/>
      <c r="AM461" s="1625"/>
      <c r="AN461" s="1380">
        <f t="shared" si="32"/>
        <v>2.7777777777777775E-6</v>
      </c>
      <c r="AO461" s="1433"/>
      <c r="AQ461" s="28">
        <f>SUM(AG$444:AG460)+(AG461/2)</f>
        <v>11.9</v>
      </c>
      <c r="AR461" s="57"/>
      <c r="AS461" s="871">
        <v>18</v>
      </c>
      <c r="AT461" s="871"/>
      <c r="AU461" s="1606">
        <f t="shared" si="35"/>
        <v>125</v>
      </c>
      <c r="AV461" s="1607"/>
      <c r="BH461" s="15"/>
      <c r="BI461" s="15"/>
      <c r="BJ461" s="15"/>
      <c r="BK461" s="15"/>
      <c r="BL461" s="15"/>
      <c r="BZ461" s="5"/>
      <c r="CA461" s="5"/>
      <c r="CB461" s="5"/>
      <c r="CC461" s="5"/>
      <c r="CD461" s="5"/>
      <c r="CE461" s="5"/>
    </row>
    <row r="462" spans="1:87" ht="15" customHeight="1">
      <c r="A462" s="136"/>
      <c r="B462" s="261">
        <f t="shared" si="43"/>
        <v>16</v>
      </c>
      <c r="C462" s="262" t="s">
        <v>96</v>
      </c>
      <c r="D462" s="263">
        <f t="shared" si="38"/>
        <v>17</v>
      </c>
      <c r="E462" s="909">
        <f t="shared" si="39"/>
        <v>1</v>
      </c>
      <c r="F462" s="909"/>
      <c r="G462" s="910">
        <f t="shared" si="40"/>
        <v>10.9</v>
      </c>
      <c r="H462" s="910"/>
      <c r="I462" s="910"/>
      <c r="J462" s="912">
        <f t="shared" si="41"/>
        <v>54000</v>
      </c>
      <c r="K462" s="912"/>
      <c r="L462" s="912"/>
      <c r="M462" s="906">
        <f t="shared" si="42"/>
        <v>0.2341269841269841</v>
      </c>
      <c r="N462" s="906"/>
      <c r="O462" s="907">
        <f t="shared" si="36"/>
        <v>4.3000000000000003E-6</v>
      </c>
      <c r="P462" s="907"/>
      <c r="Q462" s="908"/>
      <c r="S462" s="264"/>
      <c r="T462" s="264"/>
      <c r="U462" s="264"/>
      <c r="V462" s="264"/>
      <c r="X462" s="264"/>
      <c r="Y462" s="264"/>
      <c r="Z462" s="264"/>
      <c r="AD462" s="41">
        <f t="shared" si="44"/>
        <v>18</v>
      </c>
      <c r="AE462" s="341" t="str">
        <f t="shared" si="44"/>
        <v>~</v>
      </c>
      <c r="AF462" s="342">
        <f t="shared" si="44"/>
        <v>19</v>
      </c>
      <c r="AG462" s="1426">
        <f t="shared" si="37"/>
        <v>1</v>
      </c>
      <c r="AH462" s="1426"/>
      <c r="AI462" s="334"/>
      <c r="AJ462" s="26">
        <f t="shared" si="34"/>
        <v>70000</v>
      </c>
      <c r="AK462" s="339">
        <f t="shared" si="31"/>
        <v>0.15476190476190479</v>
      </c>
      <c r="AL462" s="1624"/>
      <c r="AM462" s="1625"/>
      <c r="AN462" s="1380">
        <f t="shared" si="32"/>
        <v>2.2108843537414971E-6</v>
      </c>
      <c r="AO462" s="1433"/>
      <c r="AQ462" s="28">
        <f>SUM(AG$444:AG461)+(AG462/2)</f>
        <v>12.9</v>
      </c>
      <c r="AR462" s="57"/>
      <c r="AS462" s="871">
        <v>19</v>
      </c>
      <c r="AT462" s="871"/>
      <c r="AU462" s="1606">
        <f t="shared" si="35"/>
        <v>125</v>
      </c>
      <c r="AV462" s="1607"/>
      <c r="BH462" s="15"/>
      <c r="BI462" s="15"/>
      <c r="BJ462" s="15"/>
      <c r="BK462" s="15"/>
      <c r="BL462" s="15"/>
      <c r="BZ462" s="5"/>
    </row>
    <row r="463" spans="1:87" ht="15" customHeight="1">
      <c r="A463" s="136"/>
      <c r="B463" s="261">
        <f t="shared" si="43"/>
        <v>17</v>
      </c>
      <c r="C463" s="262" t="s">
        <v>96</v>
      </c>
      <c r="D463" s="263">
        <f t="shared" si="38"/>
        <v>18</v>
      </c>
      <c r="E463" s="909">
        <f t="shared" si="39"/>
        <v>1</v>
      </c>
      <c r="F463" s="909"/>
      <c r="G463" s="910">
        <f t="shared" si="40"/>
        <v>11.9</v>
      </c>
      <c r="H463" s="910"/>
      <c r="I463" s="910"/>
      <c r="J463" s="912">
        <f t="shared" si="41"/>
        <v>70000</v>
      </c>
      <c r="K463" s="912"/>
      <c r="L463" s="912"/>
      <c r="M463" s="906">
        <f t="shared" si="42"/>
        <v>0.19444444444444442</v>
      </c>
      <c r="N463" s="906"/>
      <c r="O463" s="907">
        <f t="shared" si="36"/>
        <v>2.7999999999999999E-6</v>
      </c>
      <c r="P463" s="907"/>
      <c r="Q463" s="908"/>
      <c r="S463" s="264"/>
      <c r="T463" s="264"/>
      <c r="U463" s="264"/>
      <c r="V463" s="264"/>
      <c r="X463" s="264"/>
      <c r="Y463" s="264"/>
      <c r="Z463" s="264"/>
      <c r="AD463" s="41">
        <f t="shared" si="44"/>
        <v>19</v>
      </c>
      <c r="AE463" s="341" t="str">
        <f t="shared" si="44"/>
        <v>~</v>
      </c>
      <c r="AF463" s="342">
        <f t="shared" si="44"/>
        <v>20</v>
      </c>
      <c r="AG463" s="1426">
        <f t="shared" si="37"/>
        <v>1</v>
      </c>
      <c r="AH463" s="1426"/>
      <c r="AI463" s="334"/>
      <c r="AJ463" s="26">
        <f t="shared" si="34"/>
        <v>114500</v>
      </c>
      <c r="AK463" s="339">
        <f t="shared" si="31"/>
        <v>0.11507936507936511</v>
      </c>
      <c r="AL463" s="1624"/>
      <c r="AM463" s="1625"/>
      <c r="AN463" s="1380">
        <f t="shared" si="32"/>
        <v>1.0050599570250229E-6</v>
      </c>
      <c r="AO463" s="1433"/>
      <c r="AQ463" s="28">
        <f>SUM($AG$444:AG462)+(AG463/2)</f>
        <v>13.9</v>
      </c>
      <c r="AR463" s="57"/>
      <c r="AS463" s="871">
        <v>20</v>
      </c>
      <c r="AT463" s="871"/>
      <c r="AU463" s="1606">
        <f t="shared" si="35"/>
        <v>214</v>
      </c>
      <c r="AV463" s="1607"/>
      <c r="BH463" s="15"/>
      <c r="BI463" s="15"/>
      <c r="BJ463" s="15"/>
      <c r="BK463" s="15"/>
      <c r="BL463" s="15"/>
    </row>
    <row r="464" spans="1:87" ht="15" customHeight="1">
      <c r="A464" s="136"/>
      <c r="B464" s="343">
        <f t="shared" si="43"/>
        <v>18</v>
      </c>
      <c r="C464" s="344" t="s">
        <v>96</v>
      </c>
      <c r="D464" s="345">
        <v>19</v>
      </c>
      <c r="E464" s="909">
        <f t="shared" si="39"/>
        <v>1</v>
      </c>
      <c r="F464" s="909"/>
      <c r="G464" s="910">
        <f t="shared" si="40"/>
        <v>12.9</v>
      </c>
      <c r="H464" s="910"/>
      <c r="I464" s="910"/>
      <c r="J464" s="912">
        <f t="shared" si="41"/>
        <v>70000</v>
      </c>
      <c r="K464" s="912"/>
      <c r="L464" s="912"/>
      <c r="M464" s="906">
        <f t="shared" si="42"/>
        <v>0.15476190476190479</v>
      </c>
      <c r="N464" s="906"/>
      <c r="O464" s="907">
        <f t="shared" si="36"/>
        <v>2.2000000000000001E-6</v>
      </c>
      <c r="P464" s="907"/>
      <c r="Q464" s="908"/>
      <c r="S464" s="264"/>
      <c r="T464" s="264"/>
      <c r="U464" s="264"/>
      <c r="V464" s="264"/>
      <c r="X464" s="264"/>
      <c r="Y464" s="264"/>
      <c r="Z464" s="264"/>
      <c r="AD464" s="41">
        <f t="shared" si="44"/>
        <v>20</v>
      </c>
      <c r="AE464" s="341" t="str">
        <f t="shared" si="44"/>
        <v>~</v>
      </c>
      <c r="AF464" s="342">
        <f t="shared" si="44"/>
        <v>21</v>
      </c>
      <c r="AG464" s="1426">
        <f t="shared" si="37"/>
        <v>1</v>
      </c>
      <c r="AH464" s="1426"/>
      <c r="AI464" s="334"/>
      <c r="AJ464" s="26">
        <f t="shared" si="34"/>
        <v>264000</v>
      </c>
      <c r="AK464" s="339">
        <f t="shared" si="31"/>
        <v>7.539682539682542E-2</v>
      </c>
      <c r="AL464" s="1624"/>
      <c r="AM464" s="1625"/>
      <c r="AN464" s="1380">
        <f t="shared" si="32"/>
        <v>2.8559403559403567E-7</v>
      </c>
      <c r="AO464" s="1433"/>
      <c r="AQ464" s="28">
        <f>SUM($AG$444:AG463)+(AG464/2)</f>
        <v>14.9</v>
      </c>
      <c r="AR464" s="57"/>
      <c r="AS464" s="871">
        <v>21</v>
      </c>
      <c r="AT464" s="871"/>
      <c r="AU464" s="1606">
        <f t="shared" si="35"/>
        <v>214</v>
      </c>
      <c r="AV464" s="1607"/>
      <c r="BH464" s="15"/>
      <c r="BI464" s="15"/>
      <c r="BJ464" s="15"/>
      <c r="BK464" s="15"/>
      <c r="BL464" s="15"/>
      <c r="CG464" s="5"/>
      <c r="CH464" s="5"/>
      <c r="CI464" s="5"/>
    </row>
    <row r="465" spans="1:87" ht="15" customHeight="1">
      <c r="A465" s="136"/>
      <c r="B465" s="343">
        <f t="shared" si="43"/>
        <v>19</v>
      </c>
      <c r="C465" s="344" t="s">
        <v>96</v>
      </c>
      <c r="D465" s="408">
        <v>20</v>
      </c>
      <c r="E465" s="909">
        <f t="shared" si="39"/>
        <v>1</v>
      </c>
      <c r="F465" s="909"/>
      <c r="G465" s="910">
        <f t="shared" si="40"/>
        <v>13.9</v>
      </c>
      <c r="H465" s="910"/>
      <c r="I465" s="910"/>
      <c r="J465" s="912">
        <f t="shared" si="41"/>
        <v>114500</v>
      </c>
      <c r="K465" s="912"/>
      <c r="L465" s="912"/>
      <c r="M465" s="906">
        <f t="shared" si="42"/>
        <v>0.11507936507936511</v>
      </c>
      <c r="N465" s="906"/>
      <c r="O465" s="907">
        <f t="shared" si="36"/>
        <v>9.9999999999999995E-7</v>
      </c>
      <c r="P465" s="907"/>
      <c r="Q465" s="908"/>
      <c r="S465" s="264"/>
      <c r="T465" s="264"/>
      <c r="U465" s="264"/>
      <c r="V465" s="264"/>
      <c r="X465" s="264"/>
      <c r="Y465" s="264"/>
      <c r="Z465" s="264"/>
      <c r="AD465" s="41">
        <f t="shared" si="44"/>
        <v>21</v>
      </c>
      <c r="AE465" s="341" t="str">
        <f t="shared" si="44"/>
        <v>~</v>
      </c>
      <c r="AF465" s="342">
        <f t="shared" si="44"/>
        <v>22</v>
      </c>
      <c r="AG465" s="1426">
        <f t="shared" si="37"/>
        <v>1</v>
      </c>
      <c r="AH465" s="1426"/>
      <c r="AI465" s="334"/>
      <c r="AJ465" s="26">
        <f t="shared" si="34"/>
        <v>264000</v>
      </c>
      <c r="AK465" s="339">
        <f t="shared" si="31"/>
        <v>3.5714285714285733E-2</v>
      </c>
      <c r="AL465" s="1624"/>
      <c r="AM465" s="1625"/>
      <c r="AN465" s="1380">
        <f t="shared" si="32"/>
        <v>1.3528138528138535E-7</v>
      </c>
      <c r="AO465" s="1433"/>
      <c r="AQ465" s="28">
        <f>SUM($AG$444:AG464)+(AG465/2)</f>
        <v>15.9</v>
      </c>
      <c r="AR465" s="57"/>
      <c r="AS465" s="871">
        <v>22</v>
      </c>
      <c r="AT465" s="871"/>
      <c r="AU465" s="1606">
        <f t="shared" si="35"/>
        <v>214</v>
      </c>
      <c r="AV465" s="1607"/>
      <c r="BH465" s="15"/>
      <c r="BI465" s="15"/>
      <c r="BJ465" s="15"/>
      <c r="BK465" s="15"/>
      <c r="BL465" s="15"/>
      <c r="CF465" s="5"/>
      <c r="CG465" s="5"/>
      <c r="CH465" s="5"/>
      <c r="CI465" s="5"/>
    </row>
    <row r="466" spans="1:87" ht="15" customHeight="1">
      <c r="A466" s="136"/>
      <c r="B466" s="343">
        <f t="shared" si="43"/>
        <v>20</v>
      </c>
      <c r="C466" s="344" t="s">
        <v>96</v>
      </c>
      <c r="D466" s="408">
        <v>21</v>
      </c>
      <c r="E466" s="909">
        <f t="shared" si="39"/>
        <v>1</v>
      </c>
      <c r="F466" s="909"/>
      <c r="G466" s="910">
        <f t="shared" si="40"/>
        <v>14.9</v>
      </c>
      <c r="H466" s="910"/>
      <c r="I466" s="910"/>
      <c r="J466" s="912">
        <f t="shared" si="41"/>
        <v>264000</v>
      </c>
      <c r="K466" s="912"/>
      <c r="L466" s="912"/>
      <c r="M466" s="906">
        <f t="shared" si="42"/>
        <v>7.539682539682542E-2</v>
      </c>
      <c r="N466" s="906"/>
      <c r="O466" s="907">
        <f t="shared" si="36"/>
        <v>2.9999999999999999E-7</v>
      </c>
      <c r="P466" s="907"/>
      <c r="Q466" s="908"/>
      <c r="S466" s="264"/>
      <c r="T466" s="264"/>
      <c r="U466" s="264"/>
      <c r="V466" s="264"/>
      <c r="X466" s="264"/>
      <c r="Y466" s="264"/>
      <c r="Z466" s="264"/>
      <c r="AD466" s="41"/>
      <c r="AE466" s="341" t="str">
        <f t="shared" si="44"/>
        <v>~</v>
      </c>
      <c r="AF466" s="342">
        <f t="shared" si="44"/>
        <v>0</v>
      </c>
      <c r="AG466" s="1426"/>
      <c r="AH466" s="1426"/>
      <c r="AI466" s="334"/>
      <c r="AJ466" s="335"/>
      <c r="AK466" s="339"/>
      <c r="AL466" s="1624"/>
      <c r="AM466" s="1625"/>
      <c r="AN466" s="1380"/>
      <c r="AO466" s="1433"/>
      <c r="AQ466" s="28">
        <f>SUM($AG$444:AG465)+(AG466/2)</f>
        <v>16.399999999999999</v>
      </c>
      <c r="AR466" s="57"/>
      <c r="AS466" s="871">
        <v>23</v>
      </c>
      <c r="AT466" s="871"/>
      <c r="AU466" s="1606">
        <f t="shared" si="35"/>
        <v>0</v>
      </c>
      <c r="AV466" s="1607"/>
      <c r="BH466" s="15"/>
      <c r="BI466" s="15"/>
      <c r="BJ466" s="15"/>
      <c r="BK466" s="15"/>
      <c r="BL466" s="15"/>
      <c r="CF466" s="5"/>
      <c r="CG466" s="5"/>
      <c r="CH466" s="5"/>
      <c r="CI466" s="5"/>
    </row>
    <row r="467" spans="1:87" ht="15" customHeight="1">
      <c r="A467" s="136"/>
      <c r="B467" s="343">
        <f t="shared" si="43"/>
        <v>21</v>
      </c>
      <c r="C467" s="344" t="s">
        <v>96</v>
      </c>
      <c r="D467" s="408">
        <v>22</v>
      </c>
      <c r="E467" s="909">
        <f t="shared" si="39"/>
        <v>1</v>
      </c>
      <c r="F467" s="909"/>
      <c r="G467" s="910">
        <f t="shared" si="40"/>
        <v>15.9</v>
      </c>
      <c r="H467" s="910"/>
      <c r="I467" s="910"/>
      <c r="J467" s="912">
        <f t="shared" si="41"/>
        <v>264000</v>
      </c>
      <c r="K467" s="912"/>
      <c r="L467" s="912"/>
      <c r="M467" s="906">
        <f t="shared" si="42"/>
        <v>3.5714285714285733E-2</v>
      </c>
      <c r="N467" s="906"/>
      <c r="O467" s="907">
        <f t="shared" si="36"/>
        <v>9.9999999999999995E-8</v>
      </c>
      <c r="P467" s="907"/>
      <c r="Q467" s="908"/>
      <c r="S467" s="264"/>
      <c r="T467" s="264"/>
      <c r="U467" s="264"/>
      <c r="V467" s="264"/>
      <c r="X467" s="264"/>
      <c r="Y467" s="264"/>
      <c r="Z467" s="264"/>
      <c r="AD467" s="41">
        <f t="shared" ref="AD467:AE470" si="45">+AD344</f>
        <v>0</v>
      </c>
      <c r="AE467" s="341" t="str">
        <f t="shared" si="45"/>
        <v>~</v>
      </c>
      <c r="AF467" s="342"/>
      <c r="AG467" s="1426"/>
      <c r="AH467" s="1426"/>
      <c r="AI467" s="334"/>
      <c r="AJ467" s="335"/>
      <c r="AK467" s="339"/>
      <c r="AL467" s="1624"/>
      <c r="AM467" s="1625"/>
      <c r="AN467" s="1380"/>
      <c r="AO467" s="1433"/>
      <c r="AQ467" s="28">
        <f>SUM($AG$444:AG466)+(AG467/2)</f>
        <v>16.399999999999999</v>
      </c>
      <c r="AR467" s="57"/>
      <c r="AS467" s="871">
        <v>24</v>
      </c>
      <c r="AT467" s="871"/>
      <c r="AU467" s="1606">
        <f t="shared" si="35"/>
        <v>0</v>
      </c>
      <c r="AV467" s="1607"/>
      <c r="AX467" s="15"/>
      <c r="AY467" s="16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3"/>
      <c r="CF467" s="5"/>
      <c r="CG467" s="5"/>
      <c r="CH467" s="5"/>
      <c r="CI467" s="5"/>
    </row>
    <row r="468" spans="1:87" ht="15" customHeight="1" thickBot="1">
      <c r="A468" s="136"/>
      <c r="B468" s="406"/>
      <c r="C468" s="407"/>
      <c r="D468" s="408"/>
      <c r="E468" s="1616"/>
      <c r="F468" s="1617"/>
      <c r="G468" s="1618"/>
      <c r="H468" s="1619"/>
      <c r="I468" s="1620"/>
      <c r="J468" s="1621"/>
      <c r="K468" s="1622"/>
      <c r="L468" s="1623"/>
      <c r="M468" s="1581"/>
      <c r="N468" s="1582"/>
      <c r="O468" s="1583"/>
      <c r="P468" s="1584"/>
      <c r="Q468" s="1585"/>
      <c r="S468" s="264"/>
      <c r="T468" s="264"/>
      <c r="U468" s="264"/>
      <c r="V468" s="264"/>
      <c r="X468" s="264"/>
      <c r="Y468" s="264"/>
      <c r="Z468" s="264"/>
      <c r="AD468" s="41">
        <f t="shared" si="45"/>
        <v>0</v>
      </c>
      <c r="AE468" s="341" t="str">
        <f t="shared" si="45"/>
        <v>~</v>
      </c>
      <c r="AF468" s="342"/>
      <c r="AG468" s="1426"/>
      <c r="AH468" s="1426"/>
      <c r="AI468" s="334"/>
      <c r="AJ468" s="335"/>
      <c r="AK468" s="339"/>
      <c r="AL468" s="1624"/>
      <c r="AM468" s="1625"/>
      <c r="AN468" s="1380"/>
      <c r="AO468" s="1433"/>
      <c r="AQ468" s="28">
        <f>SUM($AG$444:AG467)+(AG468/2)</f>
        <v>16.399999999999999</v>
      </c>
      <c r="AR468" s="57"/>
      <c r="AS468" s="871">
        <v>25</v>
      </c>
      <c r="AT468" s="871"/>
      <c r="AU468" s="1606">
        <f t="shared" si="35"/>
        <v>0</v>
      </c>
      <c r="AV468" s="1607"/>
      <c r="AX468" s="20"/>
      <c r="AY468" s="20"/>
      <c r="AZ468" s="20"/>
      <c r="BA468" s="20"/>
      <c r="BB468" s="20"/>
      <c r="BC468" s="21"/>
      <c r="BD468" s="21"/>
      <c r="BE468" s="21"/>
      <c r="BF468" s="21"/>
      <c r="BG468" s="21"/>
      <c r="BH468" s="20"/>
      <c r="BI468" s="20"/>
      <c r="BJ468" s="20"/>
      <c r="BK468" s="20"/>
      <c r="BL468" s="20"/>
      <c r="CF468" s="5"/>
    </row>
    <row r="469" spans="1:87" ht="15" customHeight="1" thickTop="1" thickBot="1">
      <c r="A469" s="136"/>
      <c r="B469" s="270"/>
      <c r="C469" s="271"/>
      <c r="D469" s="272"/>
      <c r="E469" s="1388"/>
      <c r="F469" s="1388"/>
      <c r="G469" s="1370"/>
      <c r="H469" s="1370"/>
      <c r="I469" s="1370"/>
      <c r="J469" s="1371"/>
      <c r="K469" s="1371"/>
      <c r="L469" s="1371"/>
      <c r="M469" s="1372" t="s">
        <v>301</v>
      </c>
      <c r="N469" s="1372"/>
      <c r="O469" s="1373">
        <f>SUM(O446:Q468)</f>
        <v>1.4959999999999998E-4</v>
      </c>
      <c r="P469" s="1373">
        <f>SUM(P446:V464)</f>
        <v>0</v>
      </c>
      <c r="Q469" s="1374"/>
      <c r="S469" s="273"/>
      <c r="T469" s="273"/>
      <c r="U469" s="273"/>
      <c r="V469" s="273"/>
      <c r="X469" s="273"/>
      <c r="Y469" s="273"/>
      <c r="Z469" s="273"/>
      <c r="AD469" s="41">
        <f t="shared" si="45"/>
        <v>0</v>
      </c>
      <c r="AE469" s="341" t="str">
        <f t="shared" si="45"/>
        <v>~</v>
      </c>
      <c r="AF469" s="342"/>
      <c r="AG469" s="1426"/>
      <c r="AH469" s="1426"/>
      <c r="AI469" s="334"/>
      <c r="AJ469" s="335"/>
      <c r="AK469" s="339"/>
      <c r="AL469" s="1624"/>
      <c r="AM469" s="1625"/>
      <c r="AN469" s="1380"/>
      <c r="AO469" s="1433"/>
      <c r="AQ469" s="28">
        <f>SUM($AG$444:AG468)+(AG469/2)</f>
        <v>16.399999999999999</v>
      </c>
      <c r="AR469" s="57"/>
      <c r="AS469" s="871">
        <v>26</v>
      </c>
      <c r="AT469" s="871"/>
      <c r="AU469" s="1606">
        <f t="shared" si="35"/>
        <v>0</v>
      </c>
      <c r="AV469" s="1607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Z469" s="5"/>
    </row>
    <row r="470" spans="1:87" ht="15" customHeight="1" thickTop="1">
      <c r="A470" s="136"/>
      <c r="B470" s="136"/>
      <c r="E470" s="258"/>
      <c r="F470" s="258"/>
      <c r="G470" s="258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AD470" s="41">
        <f t="shared" si="45"/>
        <v>0</v>
      </c>
      <c r="AE470" s="350" t="str">
        <f t="shared" si="45"/>
        <v>~</v>
      </c>
      <c r="AF470" s="351"/>
      <c r="AG470" s="1426"/>
      <c r="AH470" s="1426"/>
      <c r="AI470" s="334"/>
      <c r="AJ470" s="335"/>
      <c r="AK470" s="339"/>
      <c r="AL470" s="1624"/>
      <c r="AM470" s="1625"/>
      <c r="AN470" s="1380"/>
      <c r="AO470" s="1433"/>
      <c r="AQ470" s="28">
        <f>SUM($AG$444:AG469)+(AG470/2)</f>
        <v>16.399999999999999</v>
      </c>
      <c r="AR470" s="57"/>
      <c r="AS470" s="871">
        <v>27</v>
      </c>
      <c r="AT470" s="871"/>
      <c r="AU470" s="1606">
        <f t="shared" si="35"/>
        <v>0</v>
      </c>
      <c r="AV470" s="1607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  <c r="BK470" s="17"/>
      <c r="BL470" s="17"/>
      <c r="BZ470" s="5"/>
    </row>
    <row r="471" spans="1:87" ht="15" customHeight="1">
      <c r="A471" s="5"/>
      <c r="B471" s="5"/>
      <c r="C471" s="1376" t="s">
        <v>362</v>
      </c>
      <c r="D471" s="1377" t="s">
        <v>327</v>
      </c>
      <c r="E471" s="1375">
        <f>+T440</f>
        <v>0.5</v>
      </c>
      <c r="F471" s="1375"/>
      <c r="G471" s="1375"/>
      <c r="H471" s="1067" t="s">
        <v>249</v>
      </c>
      <c r="I471" s="1375">
        <f>+W440</f>
        <v>1.3397940008672038</v>
      </c>
      <c r="J471" s="1067" t="s">
        <v>249</v>
      </c>
      <c r="K471" s="1428">
        <f>+N440-Q440</f>
        <v>33.200000000000003</v>
      </c>
      <c r="L471" s="1428"/>
      <c r="M471" s="1067" t="s">
        <v>249</v>
      </c>
      <c r="N471" s="1429">
        <f>+O469</f>
        <v>1.4959999999999998E-4</v>
      </c>
      <c r="O471" s="1429"/>
      <c r="P471" s="1429"/>
      <c r="Q471" s="1429" t="s">
        <v>328</v>
      </c>
      <c r="R471" s="1067" t="s">
        <v>249</v>
      </c>
      <c r="S471" s="1503">
        <v>1000</v>
      </c>
      <c r="T471" s="1503"/>
      <c r="U471" s="1067" t="s">
        <v>316</v>
      </c>
      <c r="V471" s="1614">
        <f>(E471*I471*N471*K471)*S471</f>
        <v>3.3271908299935791</v>
      </c>
      <c r="W471" s="1614"/>
      <c r="X471" s="1614"/>
      <c r="Y471" s="1614"/>
      <c r="Z471" s="1615" t="s">
        <v>329</v>
      </c>
      <c r="AA471" s="1615"/>
      <c r="AB471" s="346"/>
      <c r="AD471" s="41"/>
      <c r="AE471" s="350"/>
      <c r="AF471" s="351"/>
      <c r="AG471" s="1426"/>
      <c r="AH471" s="1426"/>
      <c r="AI471" s="334"/>
      <c r="AJ471" s="335"/>
      <c r="AK471" s="339"/>
      <c r="AL471" s="1612"/>
      <c r="AM471" s="1613"/>
      <c r="AN471" s="1380"/>
      <c r="AO471" s="1433"/>
      <c r="AQ471" s="28"/>
      <c r="AR471" s="57"/>
      <c r="AS471" s="871"/>
      <c r="AT471" s="871"/>
      <c r="AU471" s="1606"/>
      <c r="AV471" s="1607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Z471" s="5"/>
    </row>
    <row r="472" spans="1:87" ht="15" customHeight="1">
      <c r="A472" s="5"/>
      <c r="B472" s="5"/>
      <c r="C472" s="1376"/>
      <c r="D472" s="1376"/>
      <c r="E472" s="1375"/>
      <c r="F472" s="1375"/>
      <c r="G472" s="1375"/>
      <c r="H472" s="1067" t="s">
        <v>249</v>
      </c>
      <c r="I472" s="1375"/>
      <c r="J472" s="1067" t="s">
        <v>249</v>
      </c>
      <c r="K472" s="1428"/>
      <c r="L472" s="1428"/>
      <c r="M472" s="1067" t="s">
        <v>249</v>
      </c>
      <c r="N472" s="1429"/>
      <c r="O472" s="1429"/>
      <c r="P472" s="1429"/>
      <c r="Q472" s="1429" t="s">
        <v>249</v>
      </c>
      <c r="R472" s="1067" t="s">
        <v>249</v>
      </c>
      <c r="S472" s="1503"/>
      <c r="T472" s="1503"/>
      <c r="U472" s="1067"/>
      <c r="V472" s="1614"/>
      <c r="W472" s="1614"/>
      <c r="X472" s="1614"/>
      <c r="Y472" s="1614"/>
      <c r="Z472" s="1615"/>
      <c r="AA472" s="1615"/>
      <c r="AB472" s="346"/>
      <c r="AD472" s="41"/>
      <c r="AE472" s="350"/>
      <c r="AF472" s="351"/>
      <c r="AG472" s="865"/>
      <c r="AH472" s="866"/>
      <c r="AI472" s="334"/>
      <c r="AJ472" s="358"/>
      <c r="AK472" s="339"/>
      <c r="AL472" s="1612"/>
      <c r="AM472" s="1613"/>
      <c r="AN472" s="1380"/>
      <c r="AO472" s="1433"/>
      <c r="AQ472" s="28"/>
      <c r="AR472" s="57"/>
      <c r="AS472" s="871"/>
      <c r="AT472" s="871"/>
      <c r="AU472" s="1606"/>
      <c r="AV472" s="1607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Z472" s="5"/>
    </row>
    <row r="473" spans="1:87" ht="15" customHeight="1">
      <c r="A473" s="5"/>
      <c r="B473" s="5"/>
      <c r="C473" s="125"/>
      <c r="D473" s="125"/>
      <c r="E473" s="296"/>
      <c r="F473" s="296"/>
      <c r="G473" s="296"/>
      <c r="H473" s="296"/>
      <c r="I473" s="296"/>
      <c r="J473" s="296"/>
      <c r="K473" s="300"/>
      <c r="L473" s="300"/>
      <c r="M473" s="296"/>
      <c r="N473" s="301"/>
      <c r="O473" s="301"/>
      <c r="P473" s="301"/>
      <c r="Q473" s="301"/>
      <c r="R473" s="296"/>
      <c r="S473" s="302"/>
      <c r="T473" s="302"/>
      <c r="U473" s="302"/>
      <c r="V473" s="301"/>
      <c r="W473" s="125"/>
      <c r="X473" s="347"/>
      <c r="Y473" s="347"/>
      <c r="Z473" s="347"/>
      <c r="AA473" s="348"/>
      <c r="AB473" s="349"/>
      <c r="AD473" s="41"/>
      <c r="AE473" s="350"/>
      <c r="AF473" s="351"/>
      <c r="AG473" s="865"/>
      <c r="AH473" s="866"/>
      <c r="AI473" s="334"/>
      <c r="AJ473" s="358"/>
      <c r="AK473" s="339"/>
      <c r="AL473" s="1610"/>
      <c r="AM473" s="1611"/>
      <c r="AN473" s="1380"/>
      <c r="AO473" s="1433"/>
      <c r="AQ473" s="28"/>
      <c r="AR473" s="57"/>
      <c r="AS473" s="871"/>
      <c r="AT473" s="871"/>
      <c r="AU473" s="1606"/>
      <c r="AV473" s="1607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</row>
    <row r="474" spans="1:87" ht="15" customHeight="1">
      <c r="A474" s="5"/>
      <c r="B474" s="5"/>
      <c r="C474" s="125" t="s">
        <v>372</v>
      </c>
      <c r="D474" s="125"/>
      <c r="E474" s="296"/>
      <c r="F474" s="296"/>
      <c r="G474" s="296"/>
      <c r="H474" s="296"/>
      <c r="I474" s="296"/>
      <c r="J474" s="296"/>
      <c r="K474" s="300"/>
      <c r="L474" s="300"/>
      <c r="M474" s="296"/>
      <c r="N474" s="301"/>
      <c r="O474" s="301"/>
      <c r="P474" s="301"/>
      <c r="Q474" s="301"/>
      <c r="R474" s="296"/>
      <c r="S474" s="302"/>
      <c r="T474" s="302"/>
      <c r="U474" s="302"/>
      <c r="V474" s="301"/>
      <c r="W474" s="125"/>
      <c r="X474" s="347"/>
      <c r="Y474" s="347"/>
      <c r="Z474" s="347"/>
      <c r="AA474" s="348"/>
      <c r="AB474" s="349"/>
      <c r="AD474" s="41"/>
      <c r="AE474" s="350"/>
      <c r="AF474" s="351"/>
      <c r="AG474" s="865"/>
      <c r="AH474" s="866"/>
      <c r="AI474" s="334"/>
      <c r="AJ474" s="358"/>
      <c r="AK474" s="339"/>
      <c r="AL474" s="1610"/>
      <c r="AM474" s="1611"/>
      <c r="AN474" s="1380"/>
      <c r="AO474" s="1433"/>
      <c r="AQ474" s="28"/>
      <c r="AR474" s="57"/>
      <c r="AS474" s="871"/>
      <c r="AT474" s="871"/>
      <c r="AU474" s="1606"/>
      <c r="AV474" s="1607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</row>
    <row r="475" spans="1:87" ht="15" customHeight="1">
      <c r="A475" s="5"/>
      <c r="B475" s="5"/>
      <c r="C475" s="1067" t="s">
        <v>373</v>
      </c>
      <c r="D475" s="1066" t="s">
        <v>90</v>
      </c>
      <c r="E475" s="1387" t="s">
        <v>374</v>
      </c>
      <c r="F475" s="1387"/>
      <c r="G475" s="1387"/>
      <c r="H475" s="1387"/>
      <c r="I475" s="1387"/>
      <c r="J475" s="353"/>
      <c r="K475" s="353"/>
      <c r="L475" s="353"/>
      <c r="M475" s="353"/>
      <c r="N475" s="301"/>
      <c r="O475" s="301"/>
      <c r="P475" s="354"/>
      <c r="Q475" s="300"/>
      <c r="R475" s="300"/>
      <c r="S475" s="302"/>
      <c r="T475" s="301"/>
      <c r="U475" s="125"/>
      <c r="V475" s="1376"/>
      <c r="W475" s="1505"/>
      <c r="X475" s="1505"/>
      <c r="Y475" s="1504"/>
      <c r="Z475" s="1504"/>
      <c r="AA475" s="85"/>
      <c r="AD475" s="41"/>
      <c r="AE475" s="350"/>
      <c r="AF475" s="351"/>
      <c r="AG475" s="865"/>
      <c r="AH475" s="866"/>
      <c r="AI475" s="334"/>
      <c r="AJ475" s="358"/>
      <c r="AK475" s="339"/>
      <c r="AL475" s="1610"/>
      <c r="AM475" s="1611"/>
      <c r="AN475" s="1380"/>
      <c r="AO475" s="1433"/>
      <c r="AQ475" s="28"/>
      <c r="AR475" s="57"/>
      <c r="AS475" s="871"/>
      <c r="AT475" s="871"/>
      <c r="AU475" s="1606"/>
      <c r="AV475" s="1607"/>
      <c r="AX475" s="20"/>
      <c r="AY475" s="20"/>
      <c r="AZ475" s="20"/>
      <c r="BA475" s="20"/>
      <c r="BB475" s="20"/>
      <c r="BC475" s="352"/>
      <c r="BD475" s="352"/>
      <c r="BE475" s="352"/>
      <c r="BF475" s="352"/>
      <c r="BG475" s="352"/>
      <c r="BH475" s="17"/>
      <c r="BI475" s="17"/>
      <c r="BJ475" s="17"/>
      <c r="BK475" s="17"/>
      <c r="BL475" s="17"/>
    </row>
    <row r="476" spans="1:87" ht="15" customHeight="1">
      <c r="A476" s="5"/>
      <c r="B476" s="5"/>
      <c r="C476" s="1067"/>
      <c r="D476" s="1066"/>
      <c r="E476" s="1391" t="s">
        <v>375</v>
      </c>
      <c r="F476" s="1391"/>
      <c r="G476" s="1391"/>
      <c r="H476" s="1391"/>
      <c r="I476" s="1391"/>
      <c r="J476" s="300"/>
      <c r="K476" s="296"/>
      <c r="L476" s="356"/>
      <c r="M476" s="354"/>
      <c r="N476" s="301"/>
      <c r="O476" s="301"/>
      <c r="P476" s="296"/>
      <c r="Q476" s="300"/>
      <c r="R476" s="357"/>
      <c r="S476" s="300"/>
      <c r="T476" s="301"/>
      <c r="U476" s="125"/>
      <c r="V476" s="1376"/>
      <c r="W476" s="1505"/>
      <c r="X476" s="1505"/>
      <c r="Y476" s="1504"/>
      <c r="Z476" s="1504"/>
      <c r="AA476" s="85"/>
      <c r="AD476" s="41"/>
      <c r="AE476" s="350"/>
      <c r="AF476" s="351"/>
      <c r="AG476" s="865"/>
      <c r="AH476" s="866"/>
      <c r="AI476" s="334"/>
      <c r="AJ476" s="358"/>
      <c r="AK476" s="339"/>
      <c r="AL476" s="1610"/>
      <c r="AM476" s="1611"/>
      <c r="AN476" s="1380"/>
      <c r="AO476" s="1433"/>
      <c r="AQ476" s="28"/>
      <c r="AR476" s="57"/>
      <c r="AS476" s="871"/>
      <c r="AT476" s="871"/>
      <c r="AU476" s="1606"/>
      <c r="AV476" s="1607"/>
      <c r="AX476" s="20"/>
      <c r="AY476" s="20"/>
      <c r="AZ476" s="20"/>
      <c r="BA476" s="20"/>
      <c r="BB476" s="20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</row>
    <row r="477" spans="1:87" ht="15" customHeight="1">
      <c r="A477" s="5"/>
      <c r="B477" s="5"/>
      <c r="C477" s="125"/>
      <c r="D477" s="296"/>
      <c r="E477" s="296"/>
      <c r="F477" s="296"/>
      <c r="G477" s="296"/>
      <c r="H477" s="296"/>
      <c r="I477" s="296"/>
      <c r="J477" s="300"/>
      <c r="K477" s="300"/>
      <c r="L477" s="296"/>
      <c r="M477" s="301"/>
      <c r="N477" s="301"/>
      <c r="O477" s="301"/>
      <c r="P477" s="301"/>
      <c r="Q477" s="296"/>
      <c r="R477" s="302"/>
      <c r="S477" s="302"/>
      <c r="T477" s="302"/>
      <c r="U477" s="301"/>
      <c r="V477" s="125"/>
      <c r="W477" s="347"/>
      <c r="X477" s="347"/>
      <c r="Y477" s="347"/>
      <c r="Z477" s="348"/>
      <c r="AA477" s="348"/>
      <c r="AB477" s="349"/>
      <c r="AD477" s="41"/>
      <c r="AE477" s="350"/>
      <c r="AF477" s="351"/>
      <c r="AG477" s="865"/>
      <c r="AH477" s="866"/>
      <c r="AI477" s="334"/>
      <c r="AJ477" s="358"/>
      <c r="AK477" s="339"/>
      <c r="AL477" s="1610"/>
      <c r="AM477" s="1611"/>
      <c r="AN477" s="1380"/>
      <c r="AO477" s="1433"/>
      <c r="AQ477" s="28"/>
      <c r="AR477" s="57"/>
      <c r="AS477" s="871"/>
      <c r="AT477" s="871"/>
      <c r="AU477" s="1606"/>
      <c r="AV477" s="1607"/>
      <c r="AX477" s="20"/>
      <c r="AY477" s="20"/>
      <c r="AZ477" s="20"/>
      <c r="BA477" s="20"/>
      <c r="BB477" s="20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</row>
    <row r="478" spans="1:87" ht="15" customHeight="1">
      <c r="A478" s="5"/>
      <c r="B478" s="5"/>
      <c r="C478" s="125"/>
      <c r="D478" s="1431" t="s">
        <v>90</v>
      </c>
      <c r="E478" s="359"/>
      <c r="F478" s="1551">
        <f>+K440</f>
        <v>150</v>
      </c>
      <c r="G478" s="1551"/>
      <c r="H478" s="1551"/>
      <c r="I478" s="361" t="s">
        <v>343</v>
      </c>
      <c r="J478" s="361" t="s">
        <v>357</v>
      </c>
      <c r="K478" s="362">
        <f>+B440</f>
        <v>8.4</v>
      </c>
      <c r="L478" s="360" t="s">
        <v>343</v>
      </c>
      <c r="M478" s="360">
        <f>+D440</f>
        <v>8.8000000000000007</v>
      </c>
      <c r="N478" s="363" t="s">
        <v>328</v>
      </c>
      <c r="O478" s="361"/>
      <c r="P478" s="125"/>
      <c r="Q478" s="1376" t="s">
        <v>316</v>
      </c>
      <c r="R478" s="1505">
        <f>ROUND(F478*(K478*M478)/((F479+H479)*(L479+N479)),1)</f>
        <v>134</v>
      </c>
      <c r="S478" s="1505"/>
      <c r="T478" s="1504" t="s">
        <v>376</v>
      </c>
      <c r="U478" s="1504"/>
      <c r="V478" s="125"/>
      <c r="W478" s="347"/>
      <c r="X478" s="347"/>
      <c r="Y478" s="347"/>
      <c r="Z478" s="348"/>
      <c r="AA478" s="348"/>
      <c r="AB478" s="349"/>
      <c r="AD478" s="41"/>
      <c r="AE478" s="350"/>
      <c r="AF478" s="351"/>
      <c r="AG478" s="865"/>
      <c r="AH478" s="866"/>
      <c r="AI478" s="334"/>
      <c r="AJ478" s="358"/>
      <c r="AK478" s="339"/>
      <c r="AL478" s="1610"/>
      <c r="AM478" s="1611"/>
      <c r="AN478" s="1380"/>
      <c r="AO478" s="1433"/>
      <c r="AQ478" s="28"/>
      <c r="AR478" s="57"/>
      <c r="AS478" s="871"/>
      <c r="AT478" s="871"/>
      <c r="AU478" s="1606"/>
      <c r="AV478" s="1607"/>
      <c r="AW478" s="364"/>
      <c r="AX478" s="20"/>
      <c r="AY478" s="20"/>
      <c r="AZ478" s="20"/>
      <c r="BA478" s="20"/>
      <c r="BB478" s="20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</row>
    <row r="479" spans="1:87" ht="15" customHeight="1">
      <c r="A479" s="5"/>
      <c r="B479" s="5"/>
      <c r="C479" s="125"/>
      <c r="D479" s="1428"/>
      <c r="E479" s="300" t="s">
        <v>357</v>
      </c>
      <c r="F479" s="296">
        <f>+B440</f>
        <v>8.4</v>
      </c>
      <c r="G479" s="356" t="s">
        <v>248</v>
      </c>
      <c r="H479" s="354">
        <f>+G426/1000</f>
        <v>0.5</v>
      </c>
      <c r="I479" s="301" t="s">
        <v>328</v>
      </c>
      <c r="J479" s="301" t="s">
        <v>343</v>
      </c>
      <c r="K479" s="296" t="s">
        <v>357</v>
      </c>
      <c r="L479" s="300">
        <f>+D440</f>
        <v>8.8000000000000007</v>
      </c>
      <c r="M479" s="357" t="s">
        <v>248</v>
      </c>
      <c r="N479" s="300">
        <f>+G426/1000</f>
        <v>0.5</v>
      </c>
      <c r="O479" s="301" t="s">
        <v>328</v>
      </c>
      <c r="P479" s="125"/>
      <c r="Q479" s="1376"/>
      <c r="R479" s="1505"/>
      <c r="S479" s="1505"/>
      <c r="T479" s="1504"/>
      <c r="U479" s="1504"/>
      <c r="V479" s="125"/>
      <c r="W479" s="347"/>
      <c r="X479" s="347"/>
      <c r="Y479" s="347"/>
      <c r="Z479" s="348"/>
      <c r="AA479" s="348"/>
      <c r="AB479" s="349"/>
      <c r="AD479" s="365"/>
      <c r="AE479" s="366"/>
      <c r="AF479" s="367"/>
      <c r="AG479" s="367"/>
      <c r="AH479" s="367"/>
      <c r="AI479" s="367"/>
      <c r="AJ479" s="70"/>
      <c r="AK479" s="71" t="s">
        <v>97</v>
      </c>
      <c r="AL479" s="1608"/>
      <c r="AM479" s="1609"/>
      <c r="AN479" s="1434">
        <f>SUM(AN444:AO478)</f>
        <v>1.579644042446393E-4</v>
      </c>
      <c r="AO479" s="1435"/>
      <c r="AX479" s="20"/>
      <c r="AY479" s="20"/>
      <c r="AZ479" s="20"/>
      <c r="BA479" s="20"/>
      <c r="BB479" s="20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</row>
    <row r="480" spans="1:87" ht="15" customHeight="1">
      <c r="A480" s="5"/>
      <c r="B480" s="5"/>
      <c r="C480" s="125"/>
      <c r="D480" s="300"/>
      <c r="E480" s="300"/>
      <c r="F480" s="296"/>
      <c r="G480" s="356"/>
      <c r="H480" s="354"/>
      <c r="I480" s="301"/>
      <c r="J480" s="301"/>
      <c r="K480" s="296"/>
      <c r="L480" s="300"/>
      <c r="M480" s="357"/>
      <c r="N480" s="300"/>
      <c r="O480" s="301"/>
      <c r="P480" s="125"/>
      <c r="Q480" s="125"/>
      <c r="R480" s="355"/>
      <c r="S480" s="355"/>
      <c r="T480" s="224"/>
      <c r="U480" s="224"/>
      <c r="V480" s="125"/>
      <c r="W480" s="347"/>
      <c r="X480" s="347"/>
      <c r="Y480" s="347"/>
      <c r="Z480" s="348"/>
      <c r="AA480" s="348"/>
      <c r="AB480" s="5"/>
      <c r="AI480" s="3">
        <f>+AI479*AL479*AO479*AS479*1000</f>
        <v>0</v>
      </c>
      <c r="AX480" s="20"/>
      <c r="AY480" s="20"/>
      <c r="AZ480" s="20"/>
      <c r="BA480" s="20"/>
      <c r="BB480" s="20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</row>
    <row r="481" spans="1:60" ht="15" customHeight="1">
      <c r="A481" s="5"/>
      <c r="B481" s="5"/>
      <c r="C481" s="125"/>
      <c r="D481" s="300"/>
      <c r="E481" s="300"/>
      <c r="F481" s="296"/>
      <c r="G481" s="356"/>
      <c r="H481" s="354"/>
      <c r="I481" s="301"/>
      <c r="J481" s="301"/>
      <c r="K481" s="296"/>
      <c r="L481" s="300"/>
      <c r="M481" s="357"/>
      <c r="N481" s="300"/>
      <c r="O481" s="301"/>
      <c r="P481" s="125"/>
      <c r="Q481" s="125"/>
      <c r="R481" s="355"/>
      <c r="S481" s="355"/>
      <c r="T481" s="224"/>
      <c r="U481" s="224"/>
      <c r="V481" s="125"/>
      <c r="W481" s="347"/>
      <c r="X481" s="347"/>
      <c r="Y481" s="347"/>
      <c r="Z481" s="348"/>
      <c r="AA481" s="348"/>
      <c r="AB481" s="5"/>
      <c r="AH481" s="3" t="s">
        <v>299</v>
      </c>
      <c r="AK481" s="3" t="s">
        <v>300</v>
      </c>
    </row>
    <row r="482" spans="1:60" ht="15" customHeight="1">
      <c r="A482" s="5"/>
      <c r="B482" s="5"/>
      <c r="C482" s="125"/>
      <c r="D482" s="1067" t="s">
        <v>317</v>
      </c>
      <c r="E482" s="1377" t="s">
        <v>316</v>
      </c>
      <c r="F482" s="1067">
        <v>1</v>
      </c>
      <c r="G482" s="1067"/>
      <c r="H482" s="1067" t="s">
        <v>330</v>
      </c>
      <c r="I482" s="1428">
        <v>0.5</v>
      </c>
      <c r="J482" s="1428"/>
      <c r="K482" s="1067" t="s">
        <v>331</v>
      </c>
      <c r="L482" s="1387" t="s">
        <v>332</v>
      </c>
      <c r="M482" s="1387"/>
      <c r="N482" s="1387"/>
      <c r="O482" s="1387"/>
      <c r="P482" s="1387"/>
      <c r="Q482" s="1067" t="s">
        <v>324</v>
      </c>
      <c r="R482" s="296"/>
      <c r="S482" s="296" t="s">
        <v>333</v>
      </c>
      <c r="T482" s="296" t="s">
        <v>316</v>
      </c>
      <c r="U482" s="1067">
        <f>+Q440</f>
        <v>100.8</v>
      </c>
      <c r="V482" s="1067"/>
      <c r="W482" s="1067"/>
      <c r="X482" s="303" t="s">
        <v>334</v>
      </c>
      <c r="Y482" s="303"/>
      <c r="Z482" s="125"/>
      <c r="AA482" s="125"/>
      <c r="AB482" s="5"/>
      <c r="AC482" s="5"/>
      <c r="AH482" s="3" t="s">
        <v>302</v>
      </c>
      <c r="AK482" s="3" t="s">
        <v>303</v>
      </c>
      <c r="AW482" s="5"/>
      <c r="AY482" s="3"/>
    </row>
    <row r="483" spans="1:60" ht="15" customHeight="1">
      <c r="A483" s="5"/>
      <c r="B483" s="5"/>
      <c r="C483" s="125"/>
      <c r="D483" s="1067"/>
      <c r="E483" s="1377"/>
      <c r="F483" s="1067"/>
      <c r="G483" s="1067"/>
      <c r="H483" s="1067"/>
      <c r="I483" s="1428"/>
      <c r="J483" s="1428"/>
      <c r="K483" s="1067"/>
      <c r="L483" s="1391" t="s">
        <v>377</v>
      </c>
      <c r="M483" s="1391"/>
      <c r="N483" s="296" t="s">
        <v>330</v>
      </c>
      <c r="O483" s="1391" t="s">
        <v>333</v>
      </c>
      <c r="P483" s="1391"/>
      <c r="Q483" s="1067"/>
      <c r="R483" s="296"/>
      <c r="S483" s="296" t="s">
        <v>377</v>
      </c>
      <c r="T483" s="296" t="s">
        <v>316</v>
      </c>
      <c r="U483" s="1067">
        <f>+N440</f>
        <v>134</v>
      </c>
      <c r="V483" s="1067"/>
      <c r="W483" s="1067"/>
      <c r="X483" s="303" t="s">
        <v>334</v>
      </c>
      <c r="Y483" s="303"/>
      <c r="Z483" s="125"/>
      <c r="AA483" s="125"/>
      <c r="AB483" s="5"/>
      <c r="AC483" s="5"/>
      <c r="AD483" s="145" t="s">
        <v>304</v>
      </c>
      <c r="AE483" s="145" t="s">
        <v>378</v>
      </c>
      <c r="AW483" s="5"/>
      <c r="AY483" s="3"/>
    </row>
    <row r="484" spans="1:60" ht="15" customHeight="1">
      <c r="A484" s="5"/>
      <c r="B484" s="5"/>
      <c r="C484" s="125"/>
      <c r="D484" s="296"/>
      <c r="E484" s="1376"/>
      <c r="F484" s="1067">
        <v>1</v>
      </c>
      <c r="G484" s="1067"/>
      <c r="H484" s="1066" t="s">
        <v>330</v>
      </c>
      <c r="I484" s="1067">
        <v>0.5</v>
      </c>
      <c r="J484" s="1067"/>
      <c r="K484" s="1067" t="s">
        <v>336</v>
      </c>
      <c r="L484" s="1387">
        <f>U482</f>
        <v>100.8</v>
      </c>
      <c r="M484" s="1387"/>
      <c r="N484" s="1387"/>
      <c r="O484" s="1387"/>
      <c r="P484" s="1387"/>
      <c r="Q484" s="1067" t="s">
        <v>324</v>
      </c>
      <c r="R484" s="296"/>
      <c r="S484" s="296"/>
      <c r="T484" s="1067" t="s">
        <v>316</v>
      </c>
      <c r="U484" s="1389">
        <f>1-0.5*((U482/(U483-U482)))</f>
        <v>-0.51807228915662629</v>
      </c>
      <c r="V484" s="1389"/>
      <c r="W484" s="1389"/>
      <c r="X484" s="1390" t="s">
        <v>334</v>
      </c>
      <c r="Y484" s="1390"/>
      <c r="Z484" s="125"/>
      <c r="AA484" s="125"/>
      <c r="AB484" s="5"/>
      <c r="AC484" s="5"/>
      <c r="AI484" s="1384">
        <f>+G5/K5</f>
        <v>0.95454545454545447</v>
      </c>
      <c r="AJ484" s="1384"/>
    </row>
    <row r="485" spans="1:60" ht="15" customHeight="1">
      <c r="A485" s="5"/>
      <c r="B485" s="5"/>
      <c r="C485" s="125"/>
      <c r="D485" s="296"/>
      <c r="E485" s="1376"/>
      <c r="F485" s="1067"/>
      <c r="G485" s="1067"/>
      <c r="H485" s="1066"/>
      <c r="I485" s="1067"/>
      <c r="J485" s="1067"/>
      <c r="K485" s="1067"/>
      <c r="L485" s="1391">
        <f>U483</f>
        <v>134</v>
      </c>
      <c r="M485" s="1391"/>
      <c r="N485" s="296" t="s">
        <v>330</v>
      </c>
      <c r="O485" s="1391">
        <f>U482</f>
        <v>100.8</v>
      </c>
      <c r="P485" s="1391"/>
      <c r="Q485" s="1067"/>
      <c r="R485" s="296"/>
      <c r="S485" s="296"/>
      <c r="T485" s="1067"/>
      <c r="U485" s="1389"/>
      <c r="V485" s="1389"/>
      <c r="W485" s="1389"/>
      <c r="X485" s="1390"/>
      <c r="Y485" s="1390"/>
      <c r="Z485" s="125"/>
      <c r="AA485" s="125"/>
      <c r="AB485" s="5"/>
      <c r="AC485" s="5"/>
      <c r="AG485" s="5"/>
      <c r="AI485" s="278" t="s">
        <v>307</v>
      </c>
      <c r="AJ485" s="279" t="s">
        <v>308</v>
      </c>
      <c r="AK485" s="279" t="s">
        <v>309</v>
      </c>
      <c r="AL485" s="279" t="s">
        <v>310</v>
      </c>
      <c r="AM485" s="280" t="s">
        <v>311</v>
      </c>
      <c r="AQ485" s="364"/>
      <c r="AR485" s="364"/>
      <c r="AS485" s="364"/>
      <c r="AT485" s="364"/>
      <c r="AU485" s="370"/>
      <c r="AV485" s="364"/>
      <c r="AW485" s="364"/>
      <c r="AX485" s="364"/>
      <c r="AY485" s="1202"/>
      <c r="AZ485" s="1202"/>
    </row>
    <row r="486" spans="1:60" ht="15" customHeight="1">
      <c r="A486" s="5"/>
      <c r="B486" s="5"/>
      <c r="C486" s="125"/>
      <c r="D486" s="1067" t="s">
        <v>318</v>
      </c>
      <c r="E486" s="1376" t="s">
        <v>316</v>
      </c>
      <c r="F486" s="1067">
        <v>1</v>
      </c>
      <c r="G486" s="1067"/>
      <c r="H486" s="1067" t="s">
        <v>337</v>
      </c>
      <c r="I486" s="1067">
        <v>0.2</v>
      </c>
      <c r="J486" s="1067"/>
      <c r="K486" s="1067"/>
      <c r="L486" s="1437" t="s">
        <v>338</v>
      </c>
      <c r="M486" s="1437"/>
      <c r="N486" s="1437" t="s">
        <v>331</v>
      </c>
      <c r="O486" s="1387">
        <v>10</v>
      </c>
      <c r="P486" s="1387"/>
      <c r="Q486" s="1387"/>
      <c r="R486" s="1067" t="s">
        <v>324</v>
      </c>
      <c r="S486" s="296"/>
      <c r="T486" s="1067" t="s">
        <v>316</v>
      </c>
      <c r="U486" s="1375">
        <f>1+0.2*LOG((O486/0.2))</f>
        <v>1.3397940008672038</v>
      </c>
      <c r="V486" s="1375"/>
      <c r="W486" s="1375"/>
      <c r="X486" s="296"/>
      <c r="Y486" s="296"/>
      <c r="Z486" s="125"/>
      <c r="AA486" s="125"/>
      <c r="AB486" s="5"/>
      <c r="AC486" s="5"/>
      <c r="AI486" s="281">
        <v>0</v>
      </c>
      <c r="AJ486" s="282">
        <v>0.4</v>
      </c>
      <c r="AK486" s="282">
        <v>0.1</v>
      </c>
      <c r="AL486" s="283">
        <f>SLOPE(AK486:AK487,AJ486:AJ487)</f>
        <v>9.5238095238095219E-2</v>
      </c>
      <c r="AM486" s="284">
        <f>INTERCEPT(AK486:AK487,AJ486:AJ487)</f>
        <v>6.1904761904761907E-2</v>
      </c>
      <c r="AS486" s="371"/>
    </row>
    <row r="487" spans="1:60" ht="15" customHeight="1">
      <c r="A487" s="5"/>
      <c r="B487" s="5"/>
      <c r="C487" s="125"/>
      <c r="D487" s="1067"/>
      <c r="E487" s="1376"/>
      <c r="F487" s="1067"/>
      <c r="G487" s="1067"/>
      <c r="H487" s="1067"/>
      <c r="I487" s="1067"/>
      <c r="J487" s="1067"/>
      <c r="K487" s="1067"/>
      <c r="L487" s="1437"/>
      <c r="M487" s="1437"/>
      <c r="N487" s="1437"/>
      <c r="O487" s="1391">
        <v>0.1</v>
      </c>
      <c r="P487" s="1391"/>
      <c r="Q487" s="1391"/>
      <c r="R487" s="1067"/>
      <c r="S487" s="296"/>
      <c r="T487" s="1067"/>
      <c r="U487" s="1375"/>
      <c r="V487" s="1375"/>
      <c r="W487" s="1375"/>
      <c r="X487" s="296"/>
      <c r="Y487" s="296"/>
      <c r="Z487" s="125"/>
      <c r="AA487" s="125"/>
      <c r="AC487" s="5"/>
      <c r="AI487" s="286">
        <v>0.5</v>
      </c>
      <c r="AJ487" s="287">
        <f>AI487*G5+AJ486</f>
        <v>4.6000000000000005</v>
      </c>
      <c r="AK487" s="282">
        <v>0.5</v>
      </c>
      <c r="AL487" s="283">
        <f>SLOPE(AK487:AK488,AJ487:AJ488)</f>
        <v>-3.9682539682539687E-2</v>
      </c>
      <c r="AM487" s="284">
        <f>INTERCEPT(AK487:AK488,AJ487:AJ488)</f>
        <v>0.68253968253968256</v>
      </c>
      <c r="AX487" s="3"/>
      <c r="AZ487" s="5"/>
    </row>
    <row r="488" spans="1:60" ht="15" customHeight="1">
      <c r="A488" s="5"/>
      <c r="B488" s="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C488" s="5"/>
      <c r="AD488" s="5"/>
      <c r="AE488" s="5"/>
      <c r="AF488" s="5"/>
      <c r="AG488" s="5"/>
      <c r="AI488" s="288">
        <v>2</v>
      </c>
      <c r="AJ488" s="289">
        <f>AI488*G5+AJ486</f>
        <v>17.2</v>
      </c>
      <c r="AK488" s="289">
        <v>0</v>
      </c>
      <c r="AL488" s="290"/>
      <c r="AM488" s="291"/>
      <c r="AQ488" s="5"/>
      <c r="AR488" s="5"/>
      <c r="AS488" s="5"/>
      <c r="AT488" s="5"/>
      <c r="AU488" s="5"/>
      <c r="AV488" s="5"/>
      <c r="AW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spans="1:60" ht="15" customHeight="1">
      <c r="C489" s="368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C489" s="5"/>
      <c r="AD489" s="5"/>
      <c r="AE489" s="5"/>
      <c r="AF489" s="5"/>
      <c r="AG489" s="5"/>
      <c r="AI489" s="374" t="s">
        <v>314</v>
      </c>
      <c r="AJ489" s="375" t="s">
        <v>308</v>
      </c>
      <c r="AK489" s="375" t="s">
        <v>309</v>
      </c>
      <c r="AL489" s="376" t="s">
        <v>310</v>
      </c>
      <c r="AM489" s="377" t="s">
        <v>311</v>
      </c>
      <c r="AQ489" s="287"/>
      <c r="AR489" s="287"/>
      <c r="AS489" s="287"/>
      <c r="AT489" s="287"/>
      <c r="AU489" s="287"/>
      <c r="AV489" s="5"/>
      <c r="AW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spans="1:60" ht="15" customHeight="1">
      <c r="C490" s="131" t="s">
        <v>344</v>
      </c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C490" s="5"/>
      <c r="AD490" s="5"/>
      <c r="AE490" s="5"/>
      <c r="AF490" s="5"/>
      <c r="AG490" s="5"/>
      <c r="AI490" s="378">
        <v>0</v>
      </c>
      <c r="AJ490" s="294">
        <v>5.6</v>
      </c>
      <c r="AK490" s="379">
        <f>0.0111*AI484+0.0889</f>
        <v>9.9495454545454554E-2</v>
      </c>
      <c r="AL490" s="380">
        <f>SLOPE(AK490:AK491,AJ490:AJ491)</f>
        <v>9.5919791889834682E-2</v>
      </c>
      <c r="AM490" s="381">
        <f>INTERCEPT(AK490:AK491,AJ490:AJ491)</f>
        <v>-0.43765538003761961</v>
      </c>
      <c r="AO490" s="382"/>
      <c r="AQ490" s="287"/>
      <c r="AR490" s="287"/>
      <c r="AS490" s="287"/>
      <c r="AT490" s="287"/>
      <c r="AU490" s="287"/>
      <c r="AV490" s="5"/>
      <c r="AW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spans="1:60" ht="15" customHeight="1">
      <c r="C491" s="372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C491" s="5"/>
      <c r="AD491" s="5"/>
      <c r="AE491" s="5"/>
      <c r="AF491" s="5"/>
      <c r="AG491" s="5"/>
      <c r="AI491" s="383">
        <f>0.0556*AI484+0.444</f>
        <v>0.49707272727272728</v>
      </c>
      <c r="AJ491" s="384">
        <f>AI491*G5+AJ490</f>
        <v>9.7754109090909083</v>
      </c>
      <c r="AK491" s="384">
        <v>0.5</v>
      </c>
      <c r="AL491" s="380">
        <f>SLOPE(AK491:AK492,AJ491:AJ492)</f>
        <v>-3.9873206104457368E-2</v>
      </c>
      <c r="AM491" s="381">
        <f>INTERCEPT(AK491:AK492,AJ491:AJ492)</f>
        <v>0.88977697393394284</v>
      </c>
      <c r="AO491" s="385"/>
      <c r="AQ491" s="287"/>
      <c r="AR491" s="287"/>
      <c r="AS491" s="287"/>
      <c r="AT491" s="287"/>
      <c r="AU491" s="287"/>
      <c r="AV491" s="5"/>
      <c r="AW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spans="1:60" ht="26.25" customHeight="1">
      <c r="C492" s="369"/>
      <c r="D492" s="369" t="s">
        <v>379</v>
      </c>
      <c r="E492" s="373" t="s">
        <v>90</v>
      </c>
      <c r="F492" s="369"/>
      <c r="G492" s="369" t="s">
        <v>380</v>
      </c>
      <c r="H492" s="373" t="s">
        <v>248</v>
      </c>
      <c r="I492" s="372" t="s">
        <v>381</v>
      </c>
      <c r="J492" s="373" t="s">
        <v>90</v>
      </c>
      <c r="K492" s="85"/>
      <c r="L492" s="887">
        <f>+T431</f>
        <v>0.28000000000000003</v>
      </c>
      <c r="M492" s="887"/>
      <c r="N492" s="373" t="s">
        <v>248</v>
      </c>
      <c r="O492" s="888">
        <f>+V471</f>
        <v>3.3271908299935791</v>
      </c>
      <c r="P492" s="887"/>
      <c r="Q492" s="164" t="s">
        <v>90</v>
      </c>
      <c r="R492" s="890">
        <f>+L492+O492</f>
        <v>3.6071908299935789</v>
      </c>
      <c r="S492" s="891"/>
      <c r="T492" s="891"/>
      <c r="U492" s="234" t="s">
        <v>382</v>
      </c>
      <c r="V492" s="85"/>
      <c r="W492" s="85"/>
      <c r="X492" s="85"/>
      <c r="Y492" s="85"/>
      <c r="Z492" s="85"/>
      <c r="AA492" s="85"/>
      <c r="AC492" s="5"/>
      <c r="AD492" s="5"/>
      <c r="AE492" s="5"/>
      <c r="AF492" s="5"/>
      <c r="AG492" s="5"/>
      <c r="AI492" s="386">
        <f>0.2222*AI484+1.7778</f>
        <v>1.9899</v>
      </c>
      <c r="AJ492" s="387">
        <f>AI492*G5+AJ490</f>
        <v>22.315159999999999</v>
      </c>
      <c r="AK492" s="387">
        <v>0</v>
      </c>
      <c r="AL492" s="388"/>
      <c r="AM492" s="389"/>
      <c r="AQ492" s="287"/>
      <c r="AR492" s="287"/>
      <c r="AS492" s="287"/>
      <c r="AT492" s="287"/>
      <c r="AU492" s="287"/>
      <c r="AV492" s="5"/>
      <c r="AW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spans="1:60" ht="26.25" customHeight="1">
      <c r="C493" s="372"/>
      <c r="D493" s="369"/>
      <c r="E493" s="1604"/>
      <c r="F493" s="1604"/>
      <c r="G493" s="369"/>
      <c r="H493" s="369"/>
      <c r="I493" s="887"/>
      <c r="J493" s="887"/>
      <c r="K493" s="369"/>
      <c r="L493" s="373"/>
      <c r="M493" s="1605"/>
      <c r="N493" s="1605"/>
      <c r="O493" s="160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C493" s="5"/>
      <c r="AD493" s="5"/>
      <c r="AE493" s="5"/>
      <c r="AF493" s="5"/>
      <c r="AG493" s="390"/>
      <c r="AI493" s="278" t="s">
        <v>326</v>
      </c>
      <c r="AJ493" s="279" t="s">
        <v>308</v>
      </c>
      <c r="AK493" s="279" t="s">
        <v>309</v>
      </c>
      <c r="AL493" s="292" t="s">
        <v>310</v>
      </c>
      <c r="AM493" s="293" t="s">
        <v>311</v>
      </c>
      <c r="AQ493" s="391"/>
      <c r="AR493" s="391"/>
      <c r="AS493" s="391"/>
      <c r="AT493" s="287"/>
      <c r="AU493" s="5"/>
      <c r="AV493" s="5"/>
      <c r="AW493" s="5"/>
      <c r="AZ493" s="5"/>
      <c r="BA493" s="5"/>
      <c r="BB493" s="5"/>
      <c r="BC493" s="5"/>
      <c r="BD493" s="5"/>
      <c r="BE493" s="5"/>
      <c r="BF493" s="5"/>
      <c r="BG493" s="5"/>
    </row>
    <row r="494" spans="1:60" ht="26.25" customHeight="1"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C494" s="5"/>
      <c r="AD494" s="5"/>
      <c r="AE494" s="5"/>
      <c r="AF494" s="5"/>
      <c r="AG494" s="287"/>
      <c r="AI494" s="281">
        <v>0</v>
      </c>
      <c r="AJ494" s="282">
        <v>0.4</v>
      </c>
      <c r="AK494" s="282">
        <v>0.2</v>
      </c>
      <c r="AL494" s="283">
        <f>SLOPE(AK494:AK495,AJ494:AJ495)</f>
        <v>3.5714285714285712E-2</v>
      </c>
      <c r="AM494" s="284">
        <f>INTERCEPT(AK494:AK495,AJ494:AJ495)</f>
        <v>0.18571428571428569</v>
      </c>
      <c r="AQ494" s="287"/>
      <c r="AR494" s="287"/>
      <c r="AS494" s="287"/>
      <c r="AT494" s="287"/>
      <c r="AU494" s="5"/>
      <c r="AV494" s="5"/>
      <c r="AW494" s="5"/>
      <c r="AZ494" s="5"/>
      <c r="BA494" s="5"/>
      <c r="BB494" s="5"/>
      <c r="BC494" s="5"/>
      <c r="BD494" s="5"/>
      <c r="BE494" s="5"/>
      <c r="BF494" s="5"/>
      <c r="BG494" s="5"/>
    </row>
    <row r="495" spans="1:60" ht="15" customHeight="1">
      <c r="C495" s="306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AD495" s="5"/>
      <c r="AE495" s="5"/>
      <c r="AF495" s="5"/>
      <c r="AG495" s="306"/>
      <c r="AI495" s="286">
        <v>1</v>
      </c>
      <c r="AJ495" s="282">
        <f>AI495*G5+AJ494</f>
        <v>8.8000000000000007</v>
      </c>
      <c r="AK495" s="282">
        <v>0.5</v>
      </c>
      <c r="AL495" s="283">
        <f>SLOPE(AK495:AK496,AJ495:AJ496)</f>
        <v>-1.984126984126984E-2</v>
      </c>
      <c r="AM495" s="284">
        <f>INTERCEPT(AK495:AK496,AJ495:AJ496)</f>
        <v>0.67460317460317454</v>
      </c>
      <c r="AQ495" s="287"/>
      <c r="AR495" s="287"/>
      <c r="AS495" s="287"/>
      <c r="AT495" s="287"/>
      <c r="AU495" s="5"/>
      <c r="AV495" s="5"/>
      <c r="AW495" s="5"/>
      <c r="AZ495" s="5"/>
      <c r="BA495" s="5"/>
      <c r="BB495" s="5"/>
      <c r="BC495" s="5"/>
      <c r="BD495" s="5"/>
      <c r="BE495" s="5"/>
      <c r="BF495" s="5"/>
      <c r="BG495" s="5"/>
    </row>
    <row r="496" spans="1:60" ht="25.5" customHeight="1"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AB496" s="307"/>
      <c r="AD496" s="5"/>
      <c r="AE496" s="5"/>
      <c r="AF496" s="5"/>
      <c r="AG496" s="287"/>
      <c r="AI496" s="288">
        <v>4</v>
      </c>
      <c r="AJ496" s="289">
        <f>AI496*G5+AJ494</f>
        <v>34</v>
      </c>
      <c r="AK496" s="289">
        <v>0</v>
      </c>
      <c r="AL496" s="304"/>
      <c r="AM496" s="305"/>
      <c r="AQ496" s="287"/>
      <c r="AR496" s="287"/>
      <c r="AS496" s="287"/>
      <c r="AT496" s="287"/>
      <c r="AU496" s="5"/>
      <c r="AV496" s="5"/>
      <c r="AW496" s="5"/>
      <c r="AZ496" s="5"/>
      <c r="BA496" s="5"/>
      <c r="BB496" s="5"/>
      <c r="BC496" s="5"/>
      <c r="BD496" s="5"/>
      <c r="BE496" s="5"/>
      <c r="BF496" s="5"/>
      <c r="BG496" s="5"/>
    </row>
    <row r="497" spans="2:77" ht="25.5" customHeight="1">
      <c r="AB497" s="308"/>
      <c r="AD497" s="5"/>
      <c r="AE497" s="5"/>
      <c r="AF497" s="5"/>
      <c r="AG497" s="5"/>
      <c r="AQ497" s="5"/>
      <c r="AR497" s="5"/>
      <c r="AS497" s="5"/>
      <c r="AT497" s="5"/>
      <c r="AU497" s="5"/>
      <c r="AV497" s="5"/>
      <c r="AW497" s="5"/>
      <c r="AZ497" s="5"/>
      <c r="BA497" s="5"/>
      <c r="BB497" s="5"/>
      <c r="BC497" s="5"/>
      <c r="BD497" s="5"/>
      <c r="BE497" s="5"/>
      <c r="BF497" s="5"/>
      <c r="BG497" s="5"/>
      <c r="BW497" s="5"/>
      <c r="BX497" s="5"/>
      <c r="BY497" s="5"/>
    </row>
    <row r="498" spans="2:77" ht="25.5" customHeight="1">
      <c r="B498" s="1400" t="s">
        <v>339</v>
      </c>
      <c r="C498" s="1400"/>
      <c r="D498" s="1400"/>
      <c r="E498" s="1400"/>
      <c r="F498" s="1400"/>
      <c r="G498" s="1400"/>
      <c r="H498" s="1400"/>
      <c r="I498" s="1400"/>
      <c r="J498" s="1400"/>
      <c r="K498" s="1400"/>
      <c r="L498" s="1400"/>
      <c r="M498" s="1400"/>
      <c r="N498" s="1400"/>
      <c r="O498" s="1400"/>
      <c r="P498" s="1400"/>
      <c r="Q498" s="1400"/>
      <c r="R498" s="1400"/>
      <c r="S498" s="1401">
        <f>+R492</f>
        <v>3.6071908299935789</v>
      </c>
      <c r="T498" s="1401"/>
      <c r="U498" s="1401"/>
      <c r="V498" s="1401"/>
      <c r="W498" s="1401"/>
      <c r="X498" s="1401"/>
      <c r="Y498" s="1401"/>
      <c r="Z498" s="1401"/>
      <c r="AA498" s="307"/>
      <c r="AB498" s="309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Z498" s="5"/>
      <c r="BA498" s="5"/>
      <c r="BB498" s="5"/>
      <c r="BC498" s="5"/>
      <c r="BD498" s="5"/>
      <c r="BE498" s="5"/>
      <c r="BF498" s="5"/>
      <c r="BG498" s="5"/>
      <c r="BW498" s="5"/>
      <c r="BX498" s="5"/>
      <c r="BY498" s="5"/>
    </row>
    <row r="499" spans="2:77" ht="15" customHeight="1">
      <c r="B499" s="1402" t="s">
        <v>340</v>
      </c>
      <c r="C499" s="1402"/>
      <c r="D499" s="1402"/>
      <c r="E499" s="1402"/>
      <c r="F499" s="1402"/>
      <c r="G499" s="1402"/>
      <c r="H499" s="1402"/>
      <c r="I499" s="1402"/>
      <c r="J499" s="1402"/>
      <c r="K499" s="1402"/>
      <c r="L499" s="1402"/>
      <c r="M499" s="1402"/>
      <c r="N499" s="1402"/>
      <c r="O499" s="1402"/>
      <c r="P499" s="1402"/>
      <c r="Q499" s="1402"/>
      <c r="R499" s="1402"/>
      <c r="S499" s="1403">
        <v>25</v>
      </c>
      <c r="T499" s="1403"/>
      <c r="U499" s="1403"/>
      <c r="V499" s="1403"/>
      <c r="W499" s="1403"/>
      <c r="X499" s="1403"/>
      <c r="Y499" s="1403"/>
      <c r="Z499" s="1403"/>
      <c r="AA499" s="308"/>
      <c r="AB499" s="240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Z499" s="5"/>
      <c r="BA499" s="5"/>
      <c r="BB499" s="5"/>
      <c r="BC499" s="5"/>
      <c r="BD499" s="5"/>
      <c r="BE499" s="5"/>
      <c r="BF499" s="5"/>
      <c r="BG499" s="5"/>
      <c r="BW499" s="5"/>
      <c r="BX499" s="5"/>
      <c r="BY499" s="5"/>
    </row>
    <row r="500" spans="2:77" ht="15" customHeight="1">
      <c r="B500" s="1404" t="s">
        <v>341</v>
      </c>
      <c r="C500" s="1404"/>
      <c r="D500" s="1404"/>
      <c r="E500" s="1404"/>
      <c r="F500" s="1404"/>
      <c r="G500" s="1404"/>
      <c r="H500" s="1404"/>
      <c r="I500" s="1404"/>
      <c r="J500" s="1404"/>
      <c r="K500" s="1404"/>
      <c r="L500" s="1404"/>
      <c r="M500" s="1404"/>
      <c r="N500" s="1404"/>
      <c r="O500" s="1404"/>
      <c r="P500" s="1404"/>
      <c r="Q500" s="1404"/>
      <c r="R500" s="1404"/>
      <c r="S500" s="1404" t="str">
        <f>IF(S498 &lt;= S499, "O.K", "N.G")</f>
        <v>O.K</v>
      </c>
      <c r="T500" s="1404"/>
      <c r="U500" s="1404"/>
      <c r="V500" s="1404"/>
      <c r="W500" s="1404"/>
      <c r="X500" s="1404"/>
      <c r="Y500" s="1404"/>
      <c r="Z500" s="1404"/>
      <c r="AA500" s="309"/>
      <c r="AB500" s="240"/>
      <c r="BW500" s="5"/>
      <c r="BX500" s="5"/>
      <c r="BY500" s="5"/>
    </row>
    <row r="501" spans="2:77" ht="15" customHeight="1"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BW501" s="5"/>
      <c r="BX501" s="5"/>
      <c r="BY501" s="5"/>
    </row>
    <row r="502" spans="2:77" ht="15" customHeight="1"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BW502" s="5"/>
      <c r="BX502" s="5"/>
      <c r="BY502" s="5"/>
    </row>
    <row r="503" spans="2:77" ht="15" customHeight="1"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BW503" s="5"/>
      <c r="BX503" s="5"/>
      <c r="BY503" s="5"/>
    </row>
    <row r="504" spans="2:77" ht="15" customHeight="1"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BW504" s="5"/>
      <c r="BX504" s="5"/>
      <c r="BY504" s="5"/>
    </row>
    <row r="505" spans="2:77" ht="15" customHeight="1"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BW505" s="5"/>
      <c r="BX505" s="5"/>
      <c r="BY505" s="5"/>
    </row>
    <row r="506" spans="2:77" ht="15" customHeight="1"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BW506" s="5"/>
      <c r="BX506" s="5"/>
      <c r="BY506" s="5"/>
    </row>
    <row r="507" spans="2:77" ht="15" customHeight="1">
      <c r="BW507" s="5"/>
      <c r="BX507" s="5"/>
      <c r="BY507" s="5"/>
    </row>
    <row r="508" spans="2:77" ht="15" customHeight="1">
      <c r="B508" s="392"/>
      <c r="C508" s="287"/>
      <c r="D508" s="287"/>
      <c r="E508" s="287"/>
      <c r="F508" s="393"/>
      <c r="G508" s="287"/>
      <c r="H508" s="394"/>
      <c r="I508" s="394"/>
      <c r="J508" s="287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  <c r="V508" s="395"/>
      <c r="W508" s="395"/>
      <c r="X508" s="395"/>
      <c r="Y508" s="287"/>
      <c r="Z508" s="287"/>
      <c r="BW508" s="5"/>
      <c r="BX508" s="5"/>
      <c r="BY508" s="5"/>
    </row>
    <row r="509" spans="2:77" ht="15" customHeight="1">
      <c r="B509" s="392"/>
      <c r="C509" s="287"/>
      <c r="D509" s="287"/>
      <c r="E509" s="287"/>
      <c r="F509" s="393"/>
      <c r="G509" s="287"/>
      <c r="H509" s="394"/>
      <c r="I509" s="394"/>
      <c r="J509" s="287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  <c r="V509" s="395"/>
      <c r="W509" s="395"/>
      <c r="X509" s="395"/>
      <c r="Y509" s="287"/>
      <c r="Z509" s="287"/>
      <c r="BW509" s="5"/>
      <c r="BX509" s="5"/>
      <c r="BY509" s="5"/>
    </row>
    <row r="510" spans="2:77" ht="15" customHeight="1">
      <c r="B510" s="392"/>
      <c r="C510" s="287"/>
      <c r="D510" s="287"/>
      <c r="E510" s="287"/>
      <c r="F510" s="393"/>
      <c r="G510" s="287"/>
      <c r="H510" s="394"/>
      <c r="I510" s="394"/>
      <c r="J510" s="287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  <c r="V510" s="395"/>
      <c r="W510" s="395"/>
      <c r="X510" s="395"/>
      <c r="Y510" s="287"/>
      <c r="Z510" s="287"/>
      <c r="BW510" s="5"/>
      <c r="BX510" s="5"/>
      <c r="BY510" s="5"/>
    </row>
    <row r="511" spans="2:77" ht="15" customHeight="1">
      <c r="B511" s="392"/>
      <c r="C511" s="287"/>
      <c r="D511" s="287"/>
      <c r="E511" s="287"/>
      <c r="F511" s="393"/>
      <c r="G511" s="287"/>
      <c r="H511" s="394"/>
      <c r="I511" s="394"/>
      <c r="J511" s="287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  <c r="V511" s="395"/>
      <c r="W511" s="395"/>
      <c r="X511" s="395"/>
      <c r="Y511" s="287"/>
      <c r="Z511" s="287"/>
      <c r="BW511" s="5"/>
      <c r="BX511" s="5"/>
      <c r="BY511" s="5"/>
    </row>
    <row r="512" spans="2:77" ht="15" customHeight="1">
      <c r="B512" s="392"/>
      <c r="C512" s="287"/>
      <c r="D512" s="287"/>
      <c r="E512" s="287"/>
      <c r="F512" s="393"/>
      <c r="G512" s="287"/>
      <c r="H512" s="394"/>
      <c r="I512" s="394"/>
      <c r="J512" s="287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  <c r="V512" s="395"/>
      <c r="W512" s="395"/>
      <c r="X512" s="395"/>
      <c r="Y512" s="287"/>
      <c r="Z512" s="287"/>
      <c r="BW512" s="5"/>
      <c r="BX512" s="5"/>
      <c r="BY512" s="5"/>
    </row>
    <row r="513" spans="2:77" ht="15" customHeight="1">
      <c r="B513" s="392"/>
      <c r="C513" s="287"/>
      <c r="D513" s="287"/>
      <c r="E513" s="287"/>
      <c r="F513" s="393"/>
      <c r="G513" s="287"/>
      <c r="H513" s="394"/>
      <c r="I513" s="394"/>
      <c r="J513" s="287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  <c r="V513" s="395"/>
      <c r="W513" s="395"/>
      <c r="X513" s="395"/>
      <c r="Y513" s="287"/>
      <c r="Z513" s="287"/>
      <c r="BW513" s="5"/>
      <c r="BX513" s="5"/>
      <c r="BY513" s="5"/>
    </row>
    <row r="514" spans="2:77" ht="15" customHeight="1">
      <c r="B514" s="392"/>
      <c r="C514" s="287"/>
      <c r="D514" s="287"/>
      <c r="E514" s="287"/>
      <c r="F514" s="393"/>
      <c r="G514" s="287"/>
      <c r="H514" s="394"/>
      <c r="I514" s="394"/>
      <c r="J514" s="287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  <c r="V514" s="395"/>
      <c r="W514" s="395"/>
      <c r="X514" s="395"/>
      <c r="Y514" s="287"/>
      <c r="Z514" s="287"/>
      <c r="BW514" s="5"/>
      <c r="BX514" s="5"/>
      <c r="BY514" s="5"/>
    </row>
    <row r="515" spans="2:77" ht="15" customHeight="1">
      <c r="B515" s="392"/>
      <c r="C515" s="287"/>
      <c r="D515" s="287"/>
      <c r="E515" s="287"/>
      <c r="F515" s="393"/>
      <c r="G515" s="287"/>
      <c r="H515" s="394"/>
      <c r="I515" s="394"/>
      <c r="J515" s="287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  <c r="V515" s="395"/>
      <c r="W515" s="395"/>
      <c r="X515" s="395"/>
      <c r="Y515" s="287"/>
      <c r="Z515" s="287"/>
      <c r="BW515" s="5"/>
      <c r="BX515" s="5"/>
      <c r="BY515" s="5"/>
    </row>
    <row r="516" spans="2:77" ht="15" customHeight="1">
      <c r="B516" s="392"/>
      <c r="C516" s="287"/>
      <c r="D516" s="287"/>
      <c r="E516" s="287"/>
      <c r="F516" s="393"/>
      <c r="G516" s="287"/>
      <c r="H516" s="394"/>
      <c r="I516" s="394"/>
      <c r="J516" s="287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  <c r="V516" s="395"/>
      <c r="W516" s="395"/>
      <c r="X516" s="395"/>
      <c r="Y516" s="287"/>
      <c r="Z516" s="287"/>
      <c r="AH516" s="5"/>
      <c r="AI516" s="5"/>
      <c r="AJ516" s="5"/>
      <c r="AK516" s="5"/>
      <c r="AL516" s="5"/>
      <c r="AX516" s="3"/>
      <c r="AY516" s="3"/>
      <c r="BW516" s="5"/>
      <c r="BX516" s="5"/>
      <c r="BY516" s="5"/>
    </row>
    <row r="517" spans="2:77" ht="15" customHeight="1">
      <c r="B517" s="392"/>
      <c r="C517" s="287"/>
      <c r="D517" s="287"/>
      <c r="E517" s="287"/>
      <c r="F517" s="393"/>
      <c r="G517" s="287"/>
      <c r="H517" s="394"/>
      <c r="I517" s="394"/>
      <c r="J517" s="287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  <c r="V517" s="395"/>
      <c r="W517" s="395"/>
      <c r="X517" s="395"/>
      <c r="Y517" s="287"/>
      <c r="Z517" s="287"/>
      <c r="AH517" s="5"/>
      <c r="AI517" s="5"/>
      <c r="AJ517" s="5"/>
      <c r="AK517" s="5"/>
      <c r="AL517" s="5"/>
      <c r="AX517" s="3"/>
      <c r="AY517" s="3"/>
      <c r="BW517" s="5"/>
      <c r="BX517" s="5"/>
      <c r="BY517" s="5"/>
    </row>
    <row r="518" spans="2:77" ht="15" customHeight="1">
      <c r="B518" s="392"/>
      <c r="C518" s="287"/>
      <c r="D518" s="287"/>
      <c r="E518" s="287"/>
      <c r="F518" s="393"/>
      <c r="G518" s="287"/>
      <c r="H518" s="394"/>
      <c r="I518" s="394"/>
      <c r="J518" s="287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  <c r="V518" s="395"/>
      <c r="W518" s="395"/>
      <c r="X518" s="395"/>
      <c r="Y518" s="287"/>
      <c r="Z518" s="287"/>
      <c r="AH518" s="5"/>
      <c r="AI518" s="5"/>
      <c r="AJ518" s="5"/>
      <c r="AK518" s="5"/>
      <c r="AL518" s="5"/>
      <c r="AX518" s="3"/>
      <c r="AY518" s="3"/>
      <c r="BW518" s="5"/>
      <c r="BX518" s="5"/>
      <c r="BY518" s="5"/>
    </row>
    <row r="519" spans="2:77" ht="15" customHeight="1">
      <c r="B519" s="396" t="s">
        <v>417</v>
      </c>
      <c r="C519" s="287"/>
      <c r="D519" s="287"/>
      <c r="E519" s="287"/>
      <c r="F519" s="393"/>
      <c r="G519" s="287"/>
      <c r="H519" s="397"/>
      <c r="I519" s="397"/>
      <c r="J519" s="287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  <c r="V519" s="395"/>
      <c r="W519" s="395"/>
      <c r="X519" s="395"/>
      <c r="Y519" s="287"/>
      <c r="Z519" s="287"/>
      <c r="AH519" s="5"/>
      <c r="AI519" s="5"/>
      <c r="AJ519" s="5"/>
      <c r="AK519" s="5"/>
      <c r="AL519" s="5"/>
      <c r="AX519" s="3"/>
      <c r="AY519" s="3"/>
    </row>
    <row r="520" spans="2:77" ht="15" customHeight="1">
      <c r="C520" s="287"/>
      <c r="D520" s="287"/>
      <c r="E520" s="287"/>
      <c r="F520" s="393"/>
      <c r="G520" s="287"/>
      <c r="H520" s="398"/>
      <c r="I520" s="398"/>
      <c r="J520" s="287"/>
      <c r="K520" s="395"/>
      <c r="L520" s="287"/>
      <c r="M520" s="287"/>
      <c r="N520" s="287"/>
      <c r="O520" s="399"/>
      <c r="P520" s="399"/>
      <c r="Q520" s="400"/>
      <c r="R520" s="400"/>
      <c r="S520" s="400"/>
      <c r="T520" s="399"/>
      <c r="U520" s="399"/>
      <c r="V520" s="399"/>
      <c r="W520" s="399"/>
      <c r="X520" s="399"/>
      <c r="Y520" s="287"/>
      <c r="Z520" s="287"/>
      <c r="AX520" s="3"/>
      <c r="AY520" s="3"/>
    </row>
    <row r="521" spans="2:77" ht="15" customHeight="1">
      <c r="B521" s="395"/>
      <c r="C521" s="287"/>
      <c r="D521" s="287"/>
      <c r="E521" s="287"/>
      <c r="F521" s="395"/>
      <c r="G521" s="287"/>
      <c r="H521" s="287"/>
      <c r="I521" s="287"/>
      <c r="J521" s="287"/>
      <c r="K521" s="287"/>
      <c r="L521" s="287"/>
      <c r="M521" s="287"/>
      <c r="N521" s="287"/>
      <c r="O521" s="399"/>
      <c r="P521" s="399"/>
      <c r="Q521" s="400"/>
      <c r="R521" s="399"/>
      <c r="S521" s="400"/>
      <c r="T521" s="399"/>
      <c r="U521" s="399"/>
      <c r="V521" s="399"/>
      <c r="W521" s="399"/>
      <c r="X521" s="399"/>
      <c r="Y521" s="287"/>
      <c r="Z521" s="287"/>
      <c r="AX521" s="3"/>
      <c r="AY521" s="3"/>
    </row>
    <row r="522" spans="2:77" ht="15" customHeight="1"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  <c r="V522" s="395"/>
      <c r="W522" s="395"/>
      <c r="X522" s="395"/>
      <c r="Y522" s="287"/>
      <c r="Z522" s="287"/>
      <c r="AX522" s="3"/>
      <c r="AY522" s="3"/>
      <c r="BU522" s="5"/>
      <c r="BV522" s="5"/>
    </row>
    <row r="523" spans="2:77" ht="15" customHeight="1">
      <c r="B523" s="401" t="s">
        <v>383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9"/>
      <c r="S523" s="9"/>
      <c r="T523" s="9"/>
      <c r="U523" s="9"/>
      <c r="V523" s="9"/>
      <c r="W523" s="9"/>
      <c r="X523" s="9"/>
      <c r="Y523" s="9"/>
      <c r="Z523" s="9"/>
      <c r="AC523" s="402"/>
      <c r="AX523" s="3"/>
      <c r="AY523" s="3"/>
      <c r="BU523" s="5"/>
      <c r="BV523" s="5"/>
    </row>
    <row r="524" spans="2:77" ht="15" customHeight="1">
      <c r="B524" s="1104" t="s">
        <v>4</v>
      </c>
      <c r="C524" s="1455"/>
      <c r="D524" s="1455"/>
      <c r="E524" s="1455"/>
      <c r="F524" s="1455"/>
      <c r="G524" s="1455" t="s">
        <v>5</v>
      </c>
      <c r="H524" s="1455"/>
      <c r="I524" s="1455"/>
      <c r="J524" s="1455"/>
      <c r="K524" s="1455"/>
      <c r="L524" s="1455"/>
      <c r="M524" s="1455"/>
      <c r="N524" s="1455"/>
      <c r="O524" s="1599" t="s">
        <v>6</v>
      </c>
      <c r="P524" s="1599"/>
      <c r="Q524" s="1599"/>
      <c r="R524" s="1599"/>
      <c r="S524" s="1599" t="s">
        <v>7</v>
      </c>
      <c r="T524" s="1599"/>
      <c r="U524" s="1599"/>
      <c r="V524" s="1599"/>
      <c r="W524" s="1599"/>
      <c r="X524" s="1455" t="s">
        <v>8</v>
      </c>
      <c r="Y524" s="1455"/>
      <c r="Z524" s="1102"/>
      <c r="AC524" s="403"/>
      <c r="AX524" s="3"/>
      <c r="AY524" s="3"/>
      <c r="BU524" s="5"/>
      <c r="BV524" s="5"/>
    </row>
    <row r="525" spans="2:77" ht="15" customHeight="1">
      <c r="B525" s="1456"/>
      <c r="C525" s="1457"/>
      <c r="D525" s="1457"/>
      <c r="E525" s="1457"/>
      <c r="F525" s="1457"/>
      <c r="G525" s="1600" t="s">
        <v>12</v>
      </c>
      <c r="H525" s="1600"/>
      <c r="I525" s="1600"/>
      <c r="J525" s="1600"/>
      <c r="K525" s="1600" t="s">
        <v>13</v>
      </c>
      <c r="L525" s="1600"/>
      <c r="M525" s="1600"/>
      <c r="N525" s="1600"/>
      <c r="O525" s="1600" t="s">
        <v>14</v>
      </c>
      <c r="P525" s="1600"/>
      <c r="Q525" s="1600"/>
      <c r="R525" s="1600"/>
      <c r="S525" s="1601" t="s">
        <v>15</v>
      </c>
      <c r="T525" s="1601"/>
      <c r="U525" s="1601"/>
      <c r="V525" s="1601"/>
      <c r="W525" s="1601"/>
      <c r="X525" s="1602" t="s">
        <v>16</v>
      </c>
      <c r="Y525" s="1602"/>
      <c r="Z525" s="1603"/>
      <c r="AC525" s="240"/>
      <c r="AX525" s="3"/>
      <c r="AY525" s="3"/>
      <c r="BU525" s="5"/>
      <c r="BV525" s="5"/>
      <c r="BW525" s="5"/>
      <c r="BX525" s="5"/>
      <c r="BY525" s="5"/>
    </row>
    <row r="526" spans="2:77" ht="15" customHeight="1">
      <c r="B526" s="1497" t="s">
        <v>384</v>
      </c>
      <c r="C526" s="1498"/>
      <c r="D526" s="1498"/>
      <c r="E526" s="1498"/>
      <c r="F526" s="1498"/>
      <c r="G526" s="1499">
        <f>+G5</f>
        <v>8.4</v>
      </c>
      <c r="H526" s="1499"/>
      <c r="I526" s="1499"/>
      <c r="J526" s="1499"/>
      <c r="K526" s="1499">
        <f>+K5</f>
        <v>8.8000000000000007</v>
      </c>
      <c r="L526" s="1499"/>
      <c r="M526" s="1499"/>
      <c r="N526" s="1499"/>
      <c r="O526" s="1499">
        <f>+O5</f>
        <v>5.0999999999999996</v>
      </c>
      <c r="P526" s="1499"/>
      <c r="Q526" s="1499"/>
      <c r="R526" s="1499"/>
      <c r="S526" s="1473">
        <f>+S5</f>
        <v>150</v>
      </c>
      <c r="T526" s="1473"/>
      <c r="U526" s="1473"/>
      <c r="V526" s="1473"/>
      <c r="W526" s="1473"/>
      <c r="X526" s="1453">
        <f>+X5</f>
        <v>6.3</v>
      </c>
      <c r="Y526" s="1453"/>
      <c r="Z526" s="1454"/>
      <c r="AX526" s="3"/>
      <c r="AY526" s="3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 spans="2:77" ht="15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9"/>
      <c r="S527" s="9"/>
      <c r="T527" s="9"/>
      <c r="U527" s="9"/>
      <c r="V527" s="9"/>
      <c r="W527" s="9"/>
      <c r="X527" s="9"/>
      <c r="Y527" s="9"/>
      <c r="Z527" s="9"/>
      <c r="AX527" s="3"/>
      <c r="AY527" s="3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 spans="2:77" ht="15" customHeight="1">
      <c r="B528" s="404" t="s">
        <v>156</v>
      </c>
      <c r="C528" s="404"/>
      <c r="AX528" s="3"/>
      <c r="AY528" s="3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 spans="2:74" ht="15" customHeight="1">
      <c r="B529" s="1462" t="s">
        <v>143</v>
      </c>
      <c r="C529" s="1463"/>
      <c r="D529" s="1463" t="s">
        <v>157</v>
      </c>
      <c r="E529" s="1463"/>
      <c r="F529" s="1463"/>
      <c r="G529" s="1463"/>
      <c r="H529" s="1561" t="s">
        <v>158</v>
      </c>
      <c r="I529" s="1561"/>
      <c r="J529" s="1463" t="s">
        <v>159</v>
      </c>
      <c r="K529" s="1463"/>
      <c r="L529" s="1463"/>
      <c r="M529" s="1463"/>
      <c r="N529" s="1561" t="s">
        <v>160</v>
      </c>
      <c r="O529" s="1561"/>
      <c r="P529" s="1561"/>
      <c r="Q529" s="1561"/>
      <c r="R529" s="1561"/>
      <c r="S529" s="1561" t="s">
        <v>161</v>
      </c>
      <c r="T529" s="1561"/>
      <c r="U529" s="1561"/>
      <c r="V529" s="1561"/>
      <c r="W529" s="1561" t="s">
        <v>162</v>
      </c>
      <c r="X529" s="1561"/>
      <c r="Y529" s="1561"/>
      <c r="Z529" s="1562"/>
      <c r="AX529" s="3"/>
      <c r="AY529" s="3"/>
      <c r="BO529" s="5"/>
      <c r="BP529" s="5"/>
      <c r="BQ529" s="5"/>
      <c r="BR529" s="5"/>
      <c r="BS529" s="5"/>
      <c r="BT529" s="5"/>
      <c r="BU529" s="5"/>
      <c r="BV529" s="5"/>
    </row>
    <row r="530" spans="2:74" ht="15" customHeight="1">
      <c r="B530" s="1594" t="s">
        <v>385</v>
      </c>
      <c r="C530" s="1595"/>
      <c r="D530" s="1595">
        <f>+G526</f>
        <v>8.4</v>
      </c>
      <c r="E530" s="1595"/>
      <c r="F530" s="1595"/>
      <c r="G530" s="1595"/>
      <c r="H530" s="1596">
        <f>+K526</f>
        <v>8.8000000000000007</v>
      </c>
      <c r="I530" s="1596"/>
      <c r="J530" s="1595">
        <f>+O526</f>
        <v>5.0999999999999996</v>
      </c>
      <c r="K530" s="1595"/>
      <c r="L530" s="1595"/>
      <c r="M530" s="1595"/>
      <c r="N530" s="1596">
        <f>+S526</f>
        <v>150</v>
      </c>
      <c r="O530" s="1596"/>
      <c r="P530" s="1596"/>
      <c r="Q530" s="1596"/>
      <c r="R530" s="1596"/>
      <c r="S530" s="1597">
        <v>1000</v>
      </c>
      <c r="T530" s="1597"/>
      <c r="U530" s="1597"/>
      <c r="V530" s="1597"/>
      <c r="W530" s="1596">
        <v>0</v>
      </c>
      <c r="X530" s="1596"/>
      <c r="Y530" s="1596"/>
      <c r="Z530" s="1598"/>
      <c r="AX530" s="3"/>
      <c r="AY530" s="3"/>
      <c r="BO530" s="5"/>
      <c r="BP530" s="5"/>
      <c r="BQ530" s="5"/>
      <c r="BR530" s="5"/>
      <c r="BS530" s="5"/>
      <c r="BT530" s="5"/>
      <c r="BU530" s="5"/>
      <c r="BV530" s="5"/>
    </row>
    <row r="531" spans="2:74" ht="15" customHeight="1">
      <c r="B531" s="1469"/>
      <c r="C531" s="1470"/>
      <c r="D531" s="1470"/>
      <c r="E531" s="1470"/>
      <c r="F531" s="1470"/>
      <c r="G531" s="1470"/>
      <c r="H531" s="1558"/>
      <c r="I531" s="1558"/>
      <c r="J531" s="1470"/>
      <c r="K531" s="1470"/>
      <c r="L531" s="1470"/>
      <c r="M531" s="1470"/>
      <c r="N531" s="1558"/>
      <c r="O531" s="1558"/>
      <c r="P531" s="1558"/>
      <c r="Q531" s="1558"/>
      <c r="R531" s="1558"/>
      <c r="S531" s="1557"/>
      <c r="T531" s="1557"/>
      <c r="U531" s="1557"/>
      <c r="V531" s="1557"/>
      <c r="W531" s="1558"/>
      <c r="X531" s="1558"/>
      <c r="Y531" s="1558"/>
      <c r="Z531" s="1559"/>
      <c r="AX531" s="3"/>
      <c r="AY531" s="3"/>
      <c r="BO531" s="5"/>
      <c r="BP531" s="5"/>
      <c r="BQ531" s="5"/>
      <c r="BR531" s="5"/>
      <c r="BS531" s="5"/>
      <c r="BT531" s="5"/>
      <c r="BU531" s="5"/>
      <c r="BV531" s="5"/>
    </row>
    <row r="532" spans="2:74" ht="15" customHeight="1">
      <c r="B532" s="395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X532" s="3"/>
      <c r="AY532" s="3"/>
      <c r="BO532" s="5"/>
      <c r="BP532" s="5"/>
      <c r="BQ532" s="5"/>
      <c r="BR532" s="5"/>
      <c r="BS532" s="5"/>
      <c r="BT532" s="5"/>
      <c r="BU532" s="5"/>
      <c r="BV532" s="5"/>
    </row>
    <row r="533" spans="2:74" ht="15" customHeight="1">
      <c r="B533" s="395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BO533" s="5"/>
      <c r="BP533" s="5"/>
      <c r="BQ533" s="5"/>
      <c r="BR533" s="5"/>
      <c r="BS533" s="5"/>
      <c r="BT533" s="5"/>
      <c r="BU533" s="5"/>
      <c r="BV533" s="5"/>
    </row>
    <row r="534" spans="2:74" ht="15" customHeight="1">
      <c r="B534" s="405" t="s">
        <v>386</v>
      </c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BO534" s="5"/>
      <c r="BP534" s="5"/>
      <c r="BQ534" s="5"/>
      <c r="BR534" s="5"/>
      <c r="BS534" s="5"/>
      <c r="BT534" s="5"/>
    </row>
    <row r="535" spans="2:74" ht="15" customHeight="1">
      <c r="B535" s="1591" t="s">
        <v>387</v>
      </c>
      <c r="C535" s="1592"/>
      <c r="D535" s="1592"/>
      <c r="E535" s="1592"/>
      <c r="F535" s="1451" t="s">
        <v>388</v>
      </c>
      <c r="G535" s="1451"/>
      <c r="H535" s="1451"/>
      <c r="I535" s="1451"/>
      <c r="J535" s="1451"/>
      <c r="K535" s="1451"/>
      <c r="L535" s="1451"/>
      <c r="M535" s="1451"/>
      <c r="N535" s="1451" t="s">
        <v>389</v>
      </c>
      <c r="O535" s="1451"/>
      <c r="P535" s="1451"/>
      <c r="Q535" s="1451"/>
      <c r="R535" s="1451"/>
      <c r="S535" s="1451"/>
      <c r="T535" s="1451"/>
      <c r="U535" s="1451"/>
      <c r="V535" s="1451"/>
      <c r="W535" s="1451" t="s">
        <v>56</v>
      </c>
      <c r="X535" s="1451"/>
      <c r="Y535" s="1451"/>
      <c r="Z535" s="1452"/>
      <c r="BO535" s="5"/>
      <c r="BP535" s="5"/>
      <c r="BQ535" s="5"/>
      <c r="BR535" s="5"/>
      <c r="BS535" s="5"/>
      <c r="BT535" s="5"/>
    </row>
    <row r="536" spans="2:74" ht="15" customHeight="1">
      <c r="B536" s="1586">
        <f>+S526</f>
        <v>150</v>
      </c>
      <c r="C536" s="1587"/>
      <c r="D536" s="1587"/>
      <c r="E536" s="1587"/>
      <c r="F536" s="1593">
        <f>+S208</f>
        <v>481.68219920000001</v>
      </c>
      <c r="G536" s="1593"/>
      <c r="H536" s="1593"/>
      <c r="I536" s="1593"/>
      <c r="J536" s="1593"/>
      <c r="K536" s="1593"/>
      <c r="L536" s="1593"/>
      <c r="M536" s="1593"/>
      <c r="N536" s="1593">
        <f>+S252</f>
        <v>555.01666666666665</v>
      </c>
      <c r="O536" s="1593"/>
      <c r="P536" s="1593"/>
      <c r="Q536" s="1593"/>
      <c r="R536" s="1593"/>
      <c r="S536" s="1593"/>
      <c r="T536" s="1593"/>
      <c r="U536" s="1593"/>
      <c r="V536" s="1593"/>
      <c r="W536" s="1493"/>
      <c r="X536" s="1493"/>
      <c r="Y536" s="1493"/>
      <c r="Z536" s="1494"/>
      <c r="BO536" s="5"/>
      <c r="BP536" s="5"/>
      <c r="BQ536" s="5"/>
      <c r="BR536" s="5"/>
      <c r="BS536" s="5"/>
      <c r="BT536" s="5"/>
    </row>
    <row r="537" spans="2:74" ht="15" customHeight="1">
      <c r="B537" s="1589"/>
      <c r="C537" s="1590"/>
      <c r="D537" s="1590"/>
      <c r="E537" s="1590"/>
      <c r="F537" s="1443" t="str">
        <f>+IF(F536&gt;B536,"O.K","N.G")</f>
        <v>O.K</v>
      </c>
      <c r="G537" s="1443"/>
      <c r="H537" s="1443"/>
      <c r="I537" s="1443"/>
      <c r="J537" s="1443"/>
      <c r="K537" s="1443"/>
      <c r="L537" s="1443"/>
      <c r="M537" s="1443"/>
      <c r="N537" s="1443" t="str">
        <f>+IF(N536&gt;B536,"O.K","N.G")</f>
        <v>O.K</v>
      </c>
      <c r="O537" s="1443"/>
      <c r="P537" s="1443"/>
      <c r="Q537" s="1443"/>
      <c r="R537" s="1443"/>
      <c r="S537" s="1443"/>
      <c r="T537" s="1443"/>
      <c r="U537" s="1443"/>
      <c r="V537" s="1443"/>
      <c r="W537" s="1443"/>
      <c r="X537" s="1443"/>
      <c r="Y537" s="1443"/>
      <c r="Z537" s="1444"/>
      <c r="BO537" s="5"/>
      <c r="BP537" s="5"/>
      <c r="BQ537" s="5"/>
      <c r="BR537" s="5"/>
      <c r="BS537" s="5"/>
      <c r="BT537" s="5"/>
    </row>
    <row r="538" spans="2:74" ht="15" customHeight="1">
      <c r="B538" s="395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spans="2:74" ht="15" customHeight="1">
      <c r="B539" s="395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spans="2:74" ht="15" customHeight="1">
      <c r="B540" s="395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BU540" s="5"/>
      <c r="BV540" s="5"/>
    </row>
    <row r="541" spans="2:74" ht="15" customHeight="1">
      <c r="B541" s="405" t="s">
        <v>390</v>
      </c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BU541" s="5"/>
      <c r="BV541" s="5"/>
    </row>
    <row r="542" spans="2:74" ht="15" customHeight="1">
      <c r="B542" s="1591" t="s">
        <v>391</v>
      </c>
      <c r="C542" s="1592"/>
      <c r="D542" s="1592"/>
      <c r="E542" s="1592"/>
      <c r="F542" s="1451" t="s">
        <v>392</v>
      </c>
      <c r="G542" s="1451"/>
      <c r="H542" s="1451"/>
      <c r="I542" s="1451"/>
      <c r="J542" s="1451"/>
      <c r="K542" s="1451"/>
      <c r="L542" s="1451"/>
      <c r="M542" s="1451"/>
      <c r="N542" s="1451" t="s">
        <v>393</v>
      </c>
      <c r="O542" s="1451"/>
      <c r="P542" s="1451"/>
      <c r="Q542" s="1451"/>
      <c r="R542" s="1451"/>
      <c r="S542" s="1451"/>
      <c r="T542" s="1451"/>
      <c r="U542" s="1451"/>
      <c r="V542" s="1451"/>
      <c r="W542" s="1451" t="s">
        <v>56</v>
      </c>
      <c r="X542" s="1451"/>
      <c r="Y542" s="1451"/>
      <c r="Z542" s="1452"/>
    </row>
    <row r="543" spans="2:74" ht="15" customHeight="1">
      <c r="B543" s="1586">
        <v>25.4</v>
      </c>
      <c r="C543" s="1587"/>
      <c r="D543" s="1587"/>
      <c r="E543" s="1587"/>
      <c r="F543" s="1588">
        <f>+S377</f>
        <v>5.6298679834040239</v>
      </c>
      <c r="G543" s="1588"/>
      <c r="H543" s="1588"/>
      <c r="I543" s="1588"/>
      <c r="J543" s="1588"/>
      <c r="K543" s="1588"/>
      <c r="L543" s="1588"/>
      <c r="M543" s="1588"/>
      <c r="N543" s="1588">
        <f>+S498</f>
        <v>3.6071908299935789</v>
      </c>
      <c r="O543" s="1588"/>
      <c r="P543" s="1588"/>
      <c r="Q543" s="1588"/>
      <c r="R543" s="1588"/>
      <c r="S543" s="1588"/>
      <c r="T543" s="1588"/>
      <c r="U543" s="1588"/>
      <c r="V543" s="1588"/>
      <c r="W543" s="1493"/>
      <c r="X543" s="1493"/>
      <c r="Y543" s="1493"/>
      <c r="Z543" s="1494"/>
    </row>
    <row r="544" spans="2:74" ht="15" customHeight="1">
      <c r="B544" s="1589"/>
      <c r="C544" s="1590"/>
      <c r="D544" s="1590"/>
      <c r="E544" s="1590"/>
      <c r="F544" s="1443" t="str">
        <f>+IF(F543&lt;B543,"O.K","N.G")</f>
        <v>O.K</v>
      </c>
      <c r="G544" s="1443"/>
      <c r="H544" s="1443"/>
      <c r="I544" s="1443"/>
      <c r="J544" s="1443"/>
      <c r="K544" s="1443"/>
      <c r="L544" s="1443"/>
      <c r="M544" s="1443"/>
      <c r="N544" s="1443" t="str">
        <f>+IF(N543&lt;B543,"O.K","N.G")</f>
        <v>O.K</v>
      </c>
      <c r="O544" s="1443"/>
      <c r="P544" s="1443"/>
      <c r="Q544" s="1443"/>
      <c r="R544" s="1443"/>
      <c r="S544" s="1443"/>
      <c r="T544" s="1443"/>
      <c r="U544" s="1443"/>
      <c r="V544" s="1443"/>
      <c r="W544" s="1443"/>
      <c r="X544" s="1443"/>
      <c r="Y544" s="1443"/>
      <c r="Z544" s="1444"/>
    </row>
    <row r="545" spans="2:26" ht="15" customHeight="1">
      <c r="B545" s="395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</sheetData>
  <mergeCells count="1649">
    <mergeCell ref="B1:Q1"/>
    <mergeCell ref="B3:F4"/>
    <mergeCell ref="G3:N3"/>
    <mergeCell ref="O3:R3"/>
    <mergeCell ref="S3:W3"/>
    <mergeCell ref="X3:Z3"/>
    <mergeCell ref="G4:J4"/>
    <mergeCell ref="K4:N4"/>
    <mergeCell ref="O4:R4"/>
    <mergeCell ref="S4:W4"/>
    <mergeCell ref="BA6:BB6"/>
    <mergeCell ref="BE6:BF6"/>
    <mergeCell ref="BG6:BH6"/>
    <mergeCell ref="BL6:BM6"/>
    <mergeCell ref="BN6:BO6"/>
    <mergeCell ref="BA7:BB7"/>
    <mergeCell ref="BE7:BF7"/>
    <mergeCell ref="BG7:BH7"/>
    <mergeCell ref="BL7:BM7"/>
    <mergeCell ref="BN7:BO7"/>
    <mergeCell ref="BJ4:BJ5"/>
    <mergeCell ref="BL4:BM5"/>
    <mergeCell ref="BN4:BO5"/>
    <mergeCell ref="B5:F5"/>
    <mergeCell ref="G5:J5"/>
    <mergeCell ref="K5:N5"/>
    <mergeCell ref="O5:R5"/>
    <mergeCell ref="S5:W5"/>
    <mergeCell ref="X5:Z5"/>
    <mergeCell ref="X4:Z4"/>
    <mergeCell ref="AX4:AZ5"/>
    <mergeCell ref="BA4:BB5"/>
    <mergeCell ref="BD4:BD5"/>
    <mergeCell ref="BF4:BF5"/>
    <mergeCell ref="BH4:BH5"/>
    <mergeCell ref="CA8:CE8"/>
    <mergeCell ref="B9:C10"/>
    <mergeCell ref="D9:G10"/>
    <mergeCell ref="H9:J9"/>
    <mergeCell ref="K9:M9"/>
    <mergeCell ref="N9:O9"/>
    <mergeCell ref="P9:Q10"/>
    <mergeCell ref="R9:T9"/>
    <mergeCell ref="U9:W9"/>
    <mergeCell ref="X9:Z10"/>
    <mergeCell ref="BQ7:BU7"/>
    <mergeCell ref="BV7:BZ7"/>
    <mergeCell ref="CA7:CE7"/>
    <mergeCell ref="BA8:BB8"/>
    <mergeCell ref="BE8:BF8"/>
    <mergeCell ref="BG8:BH8"/>
    <mergeCell ref="BL8:BM8"/>
    <mergeCell ref="BN8:BO8"/>
    <mergeCell ref="BQ8:BU11"/>
    <mergeCell ref="BV8:BZ8"/>
    <mergeCell ref="BN9:BO9"/>
    <mergeCell ref="BV9:BZ9"/>
    <mergeCell ref="CA9:CE9"/>
    <mergeCell ref="H10:J10"/>
    <mergeCell ref="K10:M10"/>
    <mergeCell ref="N10:O10"/>
    <mergeCell ref="R10:T10"/>
    <mergeCell ref="U10:W10"/>
    <mergeCell ref="BA10:BB10"/>
    <mergeCell ref="BE10:BF10"/>
    <mergeCell ref="AH9:AJ10"/>
    <mergeCell ref="AK9:AM10"/>
    <mergeCell ref="BA9:BB9"/>
    <mergeCell ref="BE9:BF9"/>
    <mergeCell ref="BG9:BH9"/>
    <mergeCell ref="BL9:BM9"/>
    <mergeCell ref="BG10:BH10"/>
    <mergeCell ref="BL10:BM10"/>
    <mergeCell ref="BE11:BF11"/>
    <mergeCell ref="BG11:BH11"/>
    <mergeCell ref="BL11:BM11"/>
    <mergeCell ref="BN11:BO11"/>
    <mergeCell ref="BV11:BZ11"/>
    <mergeCell ref="CA11:CE11"/>
    <mergeCell ref="R11:T11"/>
    <mergeCell ref="U11:W11"/>
    <mergeCell ref="X11:Z11"/>
    <mergeCell ref="AH11:AJ11"/>
    <mergeCell ref="AK11:AM11"/>
    <mergeCell ref="BA11:BB11"/>
    <mergeCell ref="BN10:BO10"/>
    <mergeCell ref="BV10:BZ10"/>
    <mergeCell ref="CA10:CE10"/>
    <mergeCell ref="B11:C11"/>
    <mergeCell ref="D11:E11"/>
    <mergeCell ref="F11:G11"/>
    <mergeCell ref="H11:J11"/>
    <mergeCell ref="K11:M11"/>
    <mergeCell ref="N11:O11"/>
    <mergeCell ref="P11:Q11"/>
    <mergeCell ref="BV12:BZ12"/>
    <mergeCell ref="CA12:CE12"/>
    <mergeCell ref="B13:C13"/>
    <mergeCell ref="D13:E13"/>
    <mergeCell ref="F13:G13"/>
    <mergeCell ref="H13:J13"/>
    <mergeCell ref="K13:M13"/>
    <mergeCell ref="N13:O13"/>
    <mergeCell ref="P13:Q13"/>
    <mergeCell ref="R13:T13"/>
    <mergeCell ref="BA12:BB12"/>
    <mergeCell ref="BE12:BF12"/>
    <mergeCell ref="BG12:BH12"/>
    <mergeCell ref="BL12:BM12"/>
    <mergeCell ref="BN12:BO12"/>
    <mergeCell ref="BQ12:BU12"/>
    <mergeCell ref="P12:Q12"/>
    <mergeCell ref="R12:T12"/>
    <mergeCell ref="U12:W12"/>
    <mergeCell ref="X12:Z12"/>
    <mergeCell ref="AH12:AJ12"/>
    <mergeCell ref="AK12:AM12"/>
    <mergeCell ref="B12:C12"/>
    <mergeCell ref="D12:E12"/>
    <mergeCell ref="F12:G12"/>
    <mergeCell ref="H12:J12"/>
    <mergeCell ref="K12:M12"/>
    <mergeCell ref="N12:O12"/>
    <mergeCell ref="AH14:AJ14"/>
    <mergeCell ref="AK14:AM14"/>
    <mergeCell ref="B14:C14"/>
    <mergeCell ref="D14:E14"/>
    <mergeCell ref="F14:G14"/>
    <mergeCell ref="H14:J14"/>
    <mergeCell ref="K14:M14"/>
    <mergeCell ref="N14:O14"/>
    <mergeCell ref="BG13:BH13"/>
    <mergeCell ref="BL13:BM13"/>
    <mergeCell ref="BN13:BO13"/>
    <mergeCell ref="BQ13:BU13"/>
    <mergeCell ref="BV13:BZ13"/>
    <mergeCell ref="CA13:CE13"/>
    <mergeCell ref="U13:W13"/>
    <mergeCell ref="X13:Z13"/>
    <mergeCell ref="AH13:AJ13"/>
    <mergeCell ref="AK13:AM13"/>
    <mergeCell ref="BA13:BB13"/>
    <mergeCell ref="BE13:BF13"/>
    <mergeCell ref="BG15:BH15"/>
    <mergeCell ref="BL15:BM15"/>
    <mergeCell ref="BN15:BO15"/>
    <mergeCell ref="BQ15:BU15"/>
    <mergeCell ref="BV15:BZ15"/>
    <mergeCell ref="CA15:CE15"/>
    <mergeCell ref="U15:W15"/>
    <mergeCell ref="X15:Z15"/>
    <mergeCell ref="AH15:AJ15"/>
    <mergeCell ref="AK15:AM15"/>
    <mergeCell ref="BA15:BB15"/>
    <mergeCell ref="BE15:BF15"/>
    <mergeCell ref="BV14:BZ14"/>
    <mergeCell ref="CA14:CE14"/>
    <mergeCell ref="B15:C15"/>
    <mergeCell ref="D15:E15"/>
    <mergeCell ref="F15:G15"/>
    <mergeCell ref="H15:J15"/>
    <mergeCell ref="K15:M15"/>
    <mergeCell ref="N15:O15"/>
    <mergeCell ref="P15:Q15"/>
    <mergeCell ref="R15:T15"/>
    <mergeCell ref="BA14:BB14"/>
    <mergeCell ref="BE14:BF14"/>
    <mergeCell ref="BG14:BH14"/>
    <mergeCell ref="BL14:BM14"/>
    <mergeCell ref="BN14:BO14"/>
    <mergeCell ref="BQ14:BU14"/>
    <mergeCell ref="P14:Q14"/>
    <mergeCell ref="R14:T14"/>
    <mergeCell ref="U14:W14"/>
    <mergeCell ref="X14:Z14"/>
    <mergeCell ref="BG16:BH16"/>
    <mergeCell ref="BL16:BM16"/>
    <mergeCell ref="BN16:BO16"/>
    <mergeCell ref="BQ16:BU17"/>
    <mergeCell ref="BV16:BZ16"/>
    <mergeCell ref="CA16:CE16"/>
    <mergeCell ref="BN17:BO17"/>
    <mergeCell ref="BV17:BZ17"/>
    <mergeCell ref="CA17:CE17"/>
    <mergeCell ref="U16:W16"/>
    <mergeCell ref="X16:Z16"/>
    <mergeCell ref="AH16:AJ16"/>
    <mergeCell ref="AK16:AM16"/>
    <mergeCell ref="BA16:BB16"/>
    <mergeCell ref="BE16:BF16"/>
    <mergeCell ref="B16:G16"/>
    <mergeCell ref="H16:J16"/>
    <mergeCell ref="K16:M16"/>
    <mergeCell ref="N16:O16"/>
    <mergeCell ref="P16:Q16"/>
    <mergeCell ref="R16:T16"/>
    <mergeCell ref="BN18:BO18"/>
    <mergeCell ref="BQ18:BU18"/>
    <mergeCell ref="BV18:BZ18"/>
    <mergeCell ref="CA18:CE18"/>
    <mergeCell ref="Y19:AA19"/>
    <mergeCell ref="AH19:AJ19"/>
    <mergeCell ref="AK19:AM19"/>
    <mergeCell ref="BA19:BB19"/>
    <mergeCell ref="BE19:BF19"/>
    <mergeCell ref="BG19:BH19"/>
    <mergeCell ref="AH18:AJ18"/>
    <mergeCell ref="AK18:AM18"/>
    <mergeCell ref="BA18:BB18"/>
    <mergeCell ref="BE18:BF18"/>
    <mergeCell ref="BG18:BH18"/>
    <mergeCell ref="BL18:BM18"/>
    <mergeCell ref="AH17:AJ17"/>
    <mergeCell ref="AK17:AM17"/>
    <mergeCell ref="BA17:BB17"/>
    <mergeCell ref="BE17:BF17"/>
    <mergeCell ref="BG17:BH17"/>
    <mergeCell ref="BL17:BM17"/>
    <mergeCell ref="BQ20:BU20"/>
    <mergeCell ref="BV20:BZ20"/>
    <mergeCell ref="CA20:CE20"/>
    <mergeCell ref="Y21:AA21"/>
    <mergeCell ref="BA21:BB21"/>
    <mergeCell ref="BE21:BF21"/>
    <mergeCell ref="BG21:BH21"/>
    <mergeCell ref="BL21:BM21"/>
    <mergeCell ref="BN21:BO21"/>
    <mergeCell ref="BQ21:BU24"/>
    <mergeCell ref="BL19:BM19"/>
    <mergeCell ref="BN19:BO19"/>
    <mergeCell ref="BQ19:BU19"/>
    <mergeCell ref="BV19:BZ19"/>
    <mergeCell ref="CA19:CE19"/>
    <mergeCell ref="BA20:BB20"/>
    <mergeCell ref="BE20:BF20"/>
    <mergeCell ref="BG20:BH20"/>
    <mergeCell ref="BL20:BM20"/>
    <mergeCell ref="BN20:BO20"/>
    <mergeCell ref="CA23:CE23"/>
    <mergeCell ref="BA24:BB24"/>
    <mergeCell ref="BE24:BF24"/>
    <mergeCell ref="BG24:BH24"/>
    <mergeCell ref="BL24:BM24"/>
    <mergeCell ref="BN24:BO24"/>
    <mergeCell ref="BV24:BZ24"/>
    <mergeCell ref="CA24:CE24"/>
    <mergeCell ref="BA23:BB23"/>
    <mergeCell ref="BE23:BF23"/>
    <mergeCell ref="BG23:BH23"/>
    <mergeCell ref="BL23:BM23"/>
    <mergeCell ref="BN23:BO23"/>
    <mergeCell ref="BV23:BZ23"/>
    <mergeCell ref="BV21:BZ21"/>
    <mergeCell ref="CA21:CE21"/>
    <mergeCell ref="BA22:BB22"/>
    <mergeCell ref="BE22:BF22"/>
    <mergeCell ref="BG22:BH22"/>
    <mergeCell ref="BL22:BM22"/>
    <mergeCell ref="BN22:BO22"/>
    <mergeCell ref="BV22:BZ22"/>
    <mergeCell ref="CA22:CE22"/>
    <mergeCell ref="BV27:BZ27"/>
    <mergeCell ref="CA27:CE27"/>
    <mergeCell ref="BA28:BB28"/>
    <mergeCell ref="BE28:BF28"/>
    <mergeCell ref="BG28:BH28"/>
    <mergeCell ref="BL28:BM28"/>
    <mergeCell ref="BN28:BO28"/>
    <mergeCell ref="BQ28:BU28"/>
    <mergeCell ref="BV28:BZ28"/>
    <mergeCell ref="CA28:CE28"/>
    <mergeCell ref="BA27:BB27"/>
    <mergeCell ref="BE27:BF27"/>
    <mergeCell ref="BG27:BH27"/>
    <mergeCell ref="BL27:BM27"/>
    <mergeCell ref="BN27:BO27"/>
    <mergeCell ref="BQ27:BU27"/>
    <mergeCell ref="BV25:BZ25"/>
    <mergeCell ref="CA25:CE25"/>
    <mergeCell ref="BA26:BB26"/>
    <mergeCell ref="BE26:BF26"/>
    <mergeCell ref="BG26:BH26"/>
    <mergeCell ref="BL26:BM26"/>
    <mergeCell ref="BN26:BO26"/>
    <mergeCell ref="BQ26:BU26"/>
    <mergeCell ref="BV26:BZ26"/>
    <mergeCell ref="CA26:CE26"/>
    <mergeCell ref="BA25:BB25"/>
    <mergeCell ref="BE25:BF25"/>
    <mergeCell ref="BG25:BH25"/>
    <mergeCell ref="BL25:BM25"/>
    <mergeCell ref="BN25:BO25"/>
    <mergeCell ref="BQ25:BU25"/>
    <mergeCell ref="BV31:BZ31"/>
    <mergeCell ref="CA31:CE31"/>
    <mergeCell ref="BA32:BB32"/>
    <mergeCell ref="BE32:BF32"/>
    <mergeCell ref="BG32:BH32"/>
    <mergeCell ref="BL32:BM32"/>
    <mergeCell ref="BN32:BO32"/>
    <mergeCell ref="BQ32:BU32"/>
    <mergeCell ref="BV32:BZ32"/>
    <mergeCell ref="CA32:CE32"/>
    <mergeCell ref="BA31:BB31"/>
    <mergeCell ref="BE31:BF31"/>
    <mergeCell ref="BG31:BH31"/>
    <mergeCell ref="BL31:BM31"/>
    <mergeCell ref="BN31:BO31"/>
    <mergeCell ref="BQ31:BU31"/>
    <mergeCell ref="BV29:BZ29"/>
    <mergeCell ref="CA29:CE29"/>
    <mergeCell ref="BA30:BB30"/>
    <mergeCell ref="BE30:BF30"/>
    <mergeCell ref="BG30:BH30"/>
    <mergeCell ref="BL30:BM30"/>
    <mergeCell ref="BN30:BO30"/>
    <mergeCell ref="BV30:BZ30"/>
    <mergeCell ref="CA30:CE30"/>
    <mergeCell ref="BA29:BB29"/>
    <mergeCell ref="BE29:BF29"/>
    <mergeCell ref="BG29:BH29"/>
    <mergeCell ref="BL29:BM29"/>
    <mergeCell ref="BN29:BO29"/>
    <mergeCell ref="BQ29:BU30"/>
    <mergeCell ref="M65:N65"/>
    <mergeCell ref="M66:N66"/>
    <mergeCell ref="M67:N67"/>
    <mergeCell ref="K70:O70"/>
    <mergeCell ref="AN70:AR70"/>
    <mergeCell ref="K72:O72"/>
    <mergeCell ref="AN72:AR72"/>
    <mergeCell ref="M54:N54"/>
    <mergeCell ref="AP54:AQ54"/>
    <mergeCell ref="K61:O61"/>
    <mergeCell ref="J62:K62"/>
    <mergeCell ref="M63:N63"/>
    <mergeCell ref="M64:N64"/>
    <mergeCell ref="BF33:BG33"/>
    <mergeCell ref="BH33:BI33"/>
    <mergeCell ref="J45:K45"/>
    <mergeCell ref="K46:O46"/>
    <mergeCell ref="M47:N47"/>
    <mergeCell ref="K53:O53"/>
    <mergeCell ref="AN53:AR53"/>
    <mergeCell ref="B87:D87"/>
    <mergeCell ref="E87:H87"/>
    <mergeCell ref="I87:N87"/>
    <mergeCell ref="O87:T87"/>
    <mergeCell ref="U87:Z87"/>
    <mergeCell ref="B88:D88"/>
    <mergeCell ref="E88:H88"/>
    <mergeCell ref="I88:N88"/>
    <mergeCell ref="O88:T88"/>
    <mergeCell ref="U88:Z88"/>
    <mergeCell ref="M76:N76"/>
    <mergeCell ref="AP76:AQ76"/>
    <mergeCell ref="M77:N77"/>
    <mergeCell ref="AP77:AQ77"/>
    <mergeCell ref="M78:N78"/>
    <mergeCell ref="AP78:AQ78"/>
    <mergeCell ref="J73:K73"/>
    <mergeCell ref="AM73:AN73"/>
    <mergeCell ref="M74:N74"/>
    <mergeCell ref="AP74:AQ74"/>
    <mergeCell ref="M75:N75"/>
    <mergeCell ref="AP75:AQ75"/>
    <mergeCell ref="Q95:T95"/>
    <mergeCell ref="U95:Z95"/>
    <mergeCell ref="B96:C97"/>
    <mergeCell ref="D96:G97"/>
    <mergeCell ref="H96:I97"/>
    <mergeCell ref="J96:M97"/>
    <mergeCell ref="N96:P97"/>
    <mergeCell ref="Q96:T97"/>
    <mergeCell ref="U96:Z97"/>
    <mergeCell ref="B89:D89"/>
    <mergeCell ref="E89:H89"/>
    <mergeCell ref="I89:N89"/>
    <mergeCell ref="O89:T89"/>
    <mergeCell ref="U89:Z89"/>
    <mergeCell ref="B95:C95"/>
    <mergeCell ref="D95:G95"/>
    <mergeCell ref="H95:I95"/>
    <mergeCell ref="J95:M95"/>
    <mergeCell ref="N95:P95"/>
    <mergeCell ref="AG105:AI106"/>
    <mergeCell ref="D106:G106"/>
    <mergeCell ref="H106:J106"/>
    <mergeCell ref="K106:M106"/>
    <mergeCell ref="N106:O106"/>
    <mergeCell ref="R106:T106"/>
    <mergeCell ref="U106:W106"/>
    <mergeCell ref="N105:O105"/>
    <mergeCell ref="P105:Q106"/>
    <mergeCell ref="R105:T105"/>
    <mergeCell ref="U105:W105"/>
    <mergeCell ref="X105:Z106"/>
    <mergeCell ref="AD105:AF106"/>
    <mergeCell ref="F99:G99"/>
    <mergeCell ref="K99:M99"/>
    <mergeCell ref="B105:C106"/>
    <mergeCell ref="D105:G105"/>
    <mergeCell ref="H105:J105"/>
    <mergeCell ref="K105:M105"/>
    <mergeCell ref="P108:Q108"/>
    <mergeCell ref="R108:T108"/>
    <mergeCell ref="U108:W108"/>
    <mergeCell ref="X108:Z108"/>
    <mergeCell ref="AD108:AF108"/>
    <mergeCell ref="AG108:AI108"/>
    <mergeCell ref="B108:C108"/>
    <mergeCell ref="D108:E108"/>
    <mergeCell ref="F108:G108"/>
    <mergeCell ref="H108:J108"/>
    <mergeCell ref="K108:M108"/>
    <mergeCell ref="N108:O108"/>
    <mergeCell ref="P107:Q107"/>
    <mergeCell ref="R107:T107"/>
    <mergeCell ref="U107:W107"/>
    <mergeCell ref="X107:Z107"/>
    <mergeCell ref="AD107:AF107"/>
    <mergeCell ref="AG107:AI107"/>
    <mergeCell ref="B107:C107"/>
    <mergeCell ref="D107:E107"/>
    <mergeCell ref="F107:G107"/>
    <mergeCell ref="H107:J107"/>
    <mergeCell ref="K107:M107"/>
    <mergeCell ref="N107:O107"/>
    <mergeCell ref="P110:Q110"/>
    <mergeCell ref="R110:T110"/>
    <mergeCell ref="U110:W110"/>
    <mergeCell ref="X110:Z110"/>
    <mergeCell ref="AD110:AF110"/>
    <mergeCell ref="AG110:AI110"/>
    <mergeCell ref="B110:C110"/>
    <mergeCell ref="D110:E110"/>
    <mergeCell ref="F110:G110"/>
    <mergeCell ref="H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C109"/>
    <mergeCell ref="D109:E109"/>
    <mergeCell ref="F109:G109"/>
    <mergeCell ref="H109:J109"/>
    <mergeCell ref="K109:M109"/>
    <mergeCell ref="N109:O109"/>
    <mergeCell ref="U112:W112"/>
    <mergeCell ref="X112:Z112"/>
    <mergeCell ref="AD112:AF112"/>
    <mergeCell ref="AG112:AI112"/>
    <mergeCell ref="AD113:AF113"/>
    <mergeCell ref="AG113:AI113"/>
    <mergeCell ref="B112:G112"/>
    <mergeCell ref="H112:J112"/>
    <mergeCell ref="K112:M112"/>
    <mergeCell ref="N112:O112"/>
    <mergeCell ref="P112:Q112"/>
    <mergeCell ref="R112:T112"/>
    <mergeCell ref="P111:Q111"/>
    <mergeCell ref="R111:T111"/>
    <mergeCell ref="U111:W111"/>
    <mergeCell ref="X111:Z111"/>
    <mergeCell ref="AD111:AF111"/>
    <mergeCell ref="AG111:AI111"/>
    <mergeCell ref="B111:C111"/>
    <mergeCell ref="D111:E111"/>
    <mergeCell ref="F111:G111"/>
    <mergeCell ref="H111:J111"/>
    <mergeCell ref="K111:M111"/>
    <mergeCell ref="N111:O111"/>
    <mergeCell ref="AL126:AM126"/>
    <mergeCell ref="AL128:AM128"/>
    <mergeCell ref="B142:E142"/>
    <mergeCell ref="F142:K142"/>
    <mergeCell ref="L142:R142"/>
    <mergeCell ref="S142:Z142"/>
    <mergeCell ref="AN117:AP117"/>
    <mergeCell ref="U119:W119"/>
    <mergeCell ref="AL119:AM119"/>
    <mergeCell ref="AH120:AI120"/>
    <mergeCell ref="AL122:AM122"/>
    <mergeCell ref="AL124:AM124"/>
    <mergeCell ref="K114:W114"/>
    <mergeCell ref="AD114:AF114"/>
    <mergeCell ref="AG114:AI114"/>
    <mergeCell ref="AD115:AF115"/>
    <mergeCell ref="AG115:AI115"/>
    <mergeCell ref="U116:W116"/>
    <mergeCell ref="B146:E146"/>
    <mergeCell ref="F146:K146"/>
    <mergeCell ref="L146:R146"/>
    <mergeCell ref="S146:Z146"/>
    <mergeCell ref="J149:N150"/>
    <mergeCell ref="O149:Z149"/>
    <mergeCell ref="O150:R150"/>
    <mergeCell ref="S150:V150"/>
    <mergeCell ref="W150:Z150"/>
    <mergeCell ref="B143:E143"/>
    <mergeCell ref="F143:K143"/>
    <mergeCell ref="L143:R143"/>
    <mergeCell ref="S143:Z143"/>
    <mergeCell ref="B145:E145"/>
    <mergeCell ref="F145:K145"/>
    <mergeCell ref="L145:R145"/>
    <mergeCell ref="S145:Z145"/>
    <mergeCell ref="P154:Q154"/>
    <mergeCell ref="T154:U154"/>
    <mergeCell ref="X154:Y154"/>
    <mergeCell ref="P155:Q155"/>
    <mergeCell ref="T155:U155"/>
    <mergeCell ref="X155:Y155"/>
    <mergeCell ref="P152:Q152"/>
    <mergeCell ref="T152:U152"/>
    <mergeCell ref="X152:Y152"/>
    <mergeCell ref="AJ152:AK152"/>
    <mergeCell ref="AL152:AM152"/>
    <mergeCell ref="P153:Q153"/>
    <mergeCell ref="T153:U153"/>
    <mergeCell ref="X153:Y153"/>
    <mergeCell ref="AJ150:AK150"/>
    <mergeCell ref="AL150:AM150"/>
    <mergeCell ref="P151:Q151"/>
    <mergeCell ref="T151:U151"/>
    <mergeCell ref="X151:Y151"/>
    <mergeCell ref="AJ151:AK151"/>
    <mergeCell ref="AL151:AM151"/>
    <mergeCell ref="P160:Q160"/>
    <mergeCell ref="T160:U160"/>
    <mergeCell ref="X160:Y160"/>
    <mergeCell ref="P161:Q161"/>
    <mergeCell ref="T161:U161"/>
    <mergeCell ref="X161:Y161"/>
    <mergeCell ref="P158:Q158"/>
    <mergeCell ref="T158:U158"/>
    <mergeCell ref="X158:Y158"/>
    <mergeCell ref="P159:Q159"/>
    <mergeCell ref="T159:U159"/>
    <mergeCell ref="X159:Y159"/>
    <mergeCell ref="P156:Q156"/>
    <mergeCell ref="T156:U156"/>
    <mergeCell ref="X156:Y156"/>
    <mergeCell ref="P157:Q157"/>
    <mergeCell ref="T157:U157"/>
    <mergeCell ref="X157:Y157"/>
    <mergeCell ref="X167:Z168"/>
    <mergeCell ref="B168:G168"/>
    <mergeCell ref="B169:G169"/>
    <mergeCell ref="H169:J169"/>
    <mergeCell ref="K169:O169"/>
    <mergeCell ref="P169:T169"/>
    <mergeCell ref="U169:W169"/>
    <mergeCell ref="X169:Z169"/>
    <mergeCell ref="B166:D166"/>
    <mergeCell ref="B167:G167"/>
    <mergeCell ref="H167:J168"/>
    <mergeCell ref="K167:O168"/>
    <mergeCell ref="P167:T168"/>
    <mergeCell ref="U167:W168"/>
    <mergeCell ref="P162:Q162"/>
    <mergeCell ref="T162:U162"/>
    <mergeCell ref="X162:Y162"/>
    <mergeCell ref="P163:Q163"/>
    <mergeCell ref="T163:U163"/>
    <mergeCell ref="X163:Y163"/>
    <mergeCell ref="V177:Z177"/>
    <mergeCell ref="B178:E178"/>
    <mergeCell ref="F178:I178"/>
    <mergeCell ref="J178:L178"/>
    <mergeCell ref="M178:O178"/>
    <mergeCell ref="P178:R178"/>
    <mergeCell ref="S178:U178"/>
    <mergeCell ref="V178:Z178"/>
    <mergeCell ref="B177:E177"/>
    <mergeCell ref="F177:I177"/>
    <mergeCell ref="J177:L177"/>
    <mergeCell ref="M177:O177"/>
    <mergeCell ref="P177:R177"/>
    <mergeCell ref="S177:U177"/>
    <mergeCell ref="B170:G170"/>
    <mergeCell ref="H170:J170"/>
    <mergeCell ref="K170:O170"/>
    <mergeCell ref="P170:T170"/>
    <mergeCell ref="U170:W170"/>
    <mergeCell ref="X170:Z170"/>
    <mergeCell ref="H204:J204"/>
    <mergeCell ref="C206:F206"/>
    <mergeCell ref="H206:J206"/>
    <mergeCell ref="L206:M206"/>
    <mergeCell ref="O206:Q206"/>
    <mergeCell ref="B208:R208"/>
    <mergeCell ref="U198:V198"/>
    <mergeCell ref="X198:Z198"/>
    <mergeCell ref="F200:H200"/>
    <mergeCell ref="J200:K200"/>
    <mergeCell ref="M200:O200"/>
    <mergeCell ref="F202:H202"/>
    <mergeCell ref="N193:P193"/>
    <mergeCell ref="Q193:R193"/>
    <mergeCell ref="N195:P195"/>
    <mergeCell ref="Q195:R195"/>
    <mergeCell ref="Y196:AA196"/>
    <mergeCell ref="C198:D198"/>
    <mergeCell ref="F198:G198"/>
    <mergeCell ref="K198:M198"/>
    <mergeCell ref="O198:P198"/>
    <mergeCell ref="R198:S198"/>
    <mergeCell ref="S222:U222"/>
    <mergeCell ref="V222:Z222"/>
    <mergeCell ref="B223:E223"/>
    <mergeCell ref="F223:I223"/>
    <mergeCell ref="J223:L223"/>
    <mergeCell ref="M223:O223"/>
    <mergeCell ref="P223:R223"/>
    <mergeCell ref="S223:U223"/>
    <mergeCell ref="V223:Z223"/>
    <mergeCell ref="S208:Z208"/>
    <mergeCell ref="B209:R209"/>
    <mergeCell ref="S209:Z209"/>
    <mergeCell ref="B210:R210"/>
    <mergeCell ref="S210:Z210"/>
    <mergeCell ref="B222:E222"/>
    <mergeCell ref="F222:I222"/>
    <mergeCell ref="J222:L222"/>
    <mergeCell ref="M222:O222"/>
    <mergeCell ref="P222:R222"/>
    <mergeCell ref="H248:J248"/>
    <mergeCell ref="C250:F250"/>
    <mergeCell ref="H250:J250"/>
    <mergeCell ref="L250:M250"/>
    <mergeCell ref="O250:Q250"/>
    <mergeCell ref="B252:R252"/>
    <mergeCell ref="U242:V242"/>
    <mergeCell ref="X242:Z242"/>
    <mergeCell ref="F244:H244"/>
    <mergeCell ref="J244:K244"/>
    <mergeCell ref="M244:O244"/>
    <mergeCell ref="F246:H246"/>
    <mergeCell ref="N238:P238"/>
    <mergeCell ref="Q238:R238"/>
    <mergeCell ref="N240:P240"/>
    <mergeCell ref="Q240:R240"/>
    <mergeCell ref="C242:D242"/>
    <mergeCell ref="F242:G242"/>
    <mergeCell ref="K242:M242"/>
    <mergeCell ref="O242:P242"/>
    <mergeCell ref="R242:S242"/>
    <mergeCell ref="AU319:AV320"/>
    <mergeCell ref="B320:C320"/>
    <mergeCell ref="D320:G320"/>
    <mergeCell ref="H320:J320"/>
    <mergeCell ref="K320:M320"/>
    <mergeCell ref="N320:P320"/>
    <mergeCell ref="Q320:S320"/>
    <mergeCell ref="T320:V320"/>
    <mergeCell ref="W320:Y320"/>
    <mergeCell ref="AG319:AH320"/>
    <mergeCell ref="AK319:AK320"/>
    <mergeCell ref="AM319:AM320"/>
    <mergeCell ref="AO319:AO320"/>
    <mergeCell ref="AQ319:AQ320"/>
    <mergeCell ref="AS319:AT320"/>
    <mergeCell ref="S252:Z252"/>
    <mergeCell ref="B253:R253"/>
    <mergeCell ref="S253:Z253"/>
    <mergeCell ref="B254:R254"/>
    <mergeCell ref="T254:Z254"/>
    <mergeCell ref="AD319:AF320"/>
    <mergeCell ref="B323:D324"/>
    <mergeCell ref="E323:F324"/>
    <mergeCell ref="G323:I324"/>
    <mergeCell ref="J323:L324"/>
    <mergeCell ref="M323:N324"/>
    <mergeCell ref="O323:Q324"/>
    <mergeCell ref="AG323:AH323"/>
    <mergeCell ref="AU321:AV321"/>
    <mergeCell ref="AG322:AH322"/>
    <mergeCell ref="AL322:AM322"/>
    <mergeCell ref="AN322:AO322"/>
    <mergeCell ref="AS322:AT322"/>
    <mergeCell ref="AU322:AV322"/>
    <mergeCell ref="T321:V321"/>
    <mergeCell ref="W321:Y321"/>
    <mergeCell ref="AG321:AH321"/>
    <mergeCell ref="AL321:AM321"/>
    <mergeCell ref="AN321:AO321"/>
    <mergeCell ref="AS321:AT321"/>
    <mergeCell ref="B321:C321"/>
    <mergeCell ref="D321:G321"/>
    <mergeCell ref="H321:J321"/>
    <mergeCell ref="K321:M321"/>
    <mergeCell ref="N321:P321"/>
    <mergeCell ref="Q321:S321"/>
    <mergeCell ref="BH323:BL323"/>
    <mergeCell ref="AG324:AH324"/>
    <mergeCell ref="AL324:AM324"/>
    <mergeCell ref="AN324:AO324"/>
    <mergeCell ref="AS324:AT324"/>
    <mergeCell ref="AU324:AV324"/>
    <mergeCell ref="BC324:BG324"/>
    <mergeCell ref="BH324:BL324"/>
    <mergeCell ref="AL323:AM323"/>
    <mergeCell ref="AN323:AO323"/>
    <mergeCell ref="AS323:AT323"/>
    <mergeCell ref="AU323:AV323"/>
    <mergeCell ref="AX323:BB326"/>
    <mergeCell ref="BC323:BG323"/>
    <mergeCell ref="AX322:BB322"/>
    <mergeCell ref="BC322:BG322"/>
    <mergeCell ref="BH322:BL322"/>
    <mergeCell ref="BH325:BL325"/>
    <mergeCell ref="AG326:AH326"/>
    <mergeCell ref="AL326:AM326"/>
    <mergeCell ref="AN326:AO326"/>
    <mergeCell ref="AS326:AT326"/>
    <mergeCell ref="AU326:AV326"/>
    <mergeCell ref="BC326:BG326"/>
    <mergeCell ref="BH326:BL326"/>
    <mergeCell ref="AG325:AH325"/>
    <mergeCell ref="AL325:AM325"/>
    <mergeCell ref="AN325:AO325"/>
    <mergeCell ref="AS325:AT325"/>
    <mergeCell ref="AU325:AV325"/>
    <mergeCell ref="BC325:BG325"/>
    <mergeCell ref="B325:D326"/>
    <mergeCell ref="E325:F326"/>
    <mergeCell ref="G325:I326"/>
    <mergeCell ref="J325:L326"/>
    <mergeCell ref="M325:N326"/>
    <mergeCell ref="O325:Q326"/>
    <mergeCell ref="AU328:AV328"/>
    <mergeCell ref="AX328:BB328"/>
    <mergeCell ref="BC328:BG328"/>
    <mergeCell ref="BH328:BL328"/>
    <mergeCell ref="E329:F329"/>
    <mergeCell ref="G329:I329"/>
    <mergeCell ref="J329:L329"/>
    <mergeCell ref="M329:N329"/>
    <mergeCell ref="O329:Q329"/>
    <mergeCell ref="AG329:AH329"/>
    <mergeCell ref="BH327:BL327"/>
    <mergeCell ref="E328:F328"/>
    <mergeCell ref="G328:I328"/>
    <mergeCell ref="J328:L328"/>
    <mergeCell ref="M328:N328"/>
    <mergeCell ref="O328:Q328"/>
    <mergeCell ref="AG328:AH328"/>
    <mergeCell ref="AL328:AM328"/>
    <mergeCell ref="AN328:AO328"/>
    <mergeCell ref="AS328:AT328"/>
    <mergeCell ref="AL327:AM327"/>
    <mergeCell ref="AN327:AO327"/>
    <mergeCell ref="AS327:AT327"/>
    <mergeCell ref="AU327:AV327"/>
    <mergeCell ref="AX327:BB327"/>
    <mergeCell ref="BC327:BG327"/>
    <mergeCell ref="E327:F327"/>
    <mergeCell ref="G327:I327"/>
    <mergeCell ref="J327:L327"/>
    <mergeCell ref="M327:N327"/>
    <mergeCell ref="O327:Q327"/>
    <mergeCell ref="AG327:AH327"/>
    <mergeCell ref="AU330:AV330"/>
    <mergeCell ref="AX330:BB330"/>
    <mergeCell ref="BC330:BG330"/>
    <mergeCell ref="BH330:BL330"/>
    <mergeCell ref="E331:F331"/>
    <mergeCell ref="G331:I331"/>
    <mergeCell ref="J331:L331"/>
    <mergeCell ref="M331:N331"/>
    <mergeCell ref="O331:Q331"/>
    <mergeCell ref="AG331:AH331"/>
    <mergeCell ref="BH329:BL329"/>
    <mergeCell ref="E330:F330"/>
    <mergeCell ref="G330:I330"/>
    <mergeCell ref="J330:L330"/>
    <mergeCell ref="M330:N330"/>
    <mergeCell ref="O330:Q330"/>
    <mergeCell ref="AG330:AH330"/>
    <mergeCell ref="AL330:AM330"/>
    <mergeCell ref="AN330:AO330"/>
    <mergeCell ref="AS330:AT330"/>
    <mergeCell ref="AL329:AM329"/>
    <mergeCell ref="AN329:AO329"/>
    <mergeCell ref="AS329:AT329"/>
    <mergeCell ref="AU329:AV329"/>
    <mergeCell ref="AX329:BB329"/>
    <mergeCell ref="BC329:BG329"/>
    <mergeCell ref="BH331:BL331"/>
    <mergeCell ref="E332:F332"/>
    <mergeCell ref="G332:I332"/>
    <mergeCell ref="J332:L332"/>
    <mergeCell ref="M332:N332"/>
    <mergeCell ref="O332:Q332"/>
    <mergeCell ref="AG332:AH332"/>
    <mergeCell ref="AL332:AM332"/>
    <mergeCell ref="AN332:AO332"/>
    <mergeCell ref="AS332:AT332"/>
    <mergeCell ref="AL331:AM331"/>
    <mergeCell ref="AN331:AO331"/>
    <mergeCell ref="AS331:AT331"/>
    <mergeCell ref="AU331:AV331"/>
    <mergeCell ref="AX331:BB332"/>
    <mergeCell ref="BC331:BG331"/>
    <mergeCell ref="AU332:AV332"/>
    <mergeCell ref="BC332:BG332"/>
    <mergeCell ref="AU333:AV333"/>
    <mergeCell ref="AX333:BB333"/>
    <mergeCell ref="BC333:BG333"/>
    <mergeCell ref="BH333:BL333"/>
    <mergeCell ref="E334:F334"/>
    <mergeCell ref="G334:I334"/>
    <mergeCell ref="J334:L334"/>
    <mergeCell ref="M334:N334"/>
    <mergeCell ref="O334:Q334"/>
    <mergeCell ref="AG334:AH334"/>
    <mergeCell ref="BH332:BL332"/>
    <mergeCell ref="E333:F333"/>
    <mergeCell ref="G333:I333"/>
    <mergeCell ref="J333:L333"/>
    <mergeCell ref="M333:N333"/>
    <mergeCell ref="O333:Q333"/>
    <mergeCell ref="AG333:AH333"/>
    <mergeCell ref="AL333:AM333"/>
    <mergeCell ref="AN333:AO333"/>
    <mergeCell ref="AS333:AT333"/>
    <mergeCell ref="AU335:AV335"/>
    <mergeCell ref="AX335:BB335"/>
    <mergeCell ref="BC335:BG335"/>
    <mergeCell ref="BH335:BL335"/>
    <mergeCell ref="E336:F336"/>
    <mergeCell ref="G336:I336"/>
    <mergeCell ref="J336:L336"/>
    <mergeCell ref="M336:N336"/>
    <mergeCell ref="O336:Q336"/>
    <mergeCell ref="AG336:AH336"/>
    <mergeCell ref="BH334:BL334"/>
    <mergeCell ref="E335:F335"/>
    <mergeCell ref="G335:I335"/>
    <mergeCell ref="J335:L335"/>
    <mergeCell ref="M335:N335"/>
    <mergeCell ref="O335:Q335"/>
    <mergeCell ref="AG335:AH335"/>
    <mergeCell ref="AL335:AM335"/>
    <mergeCell ref="AN335:AO335"/>
    <mergeCell ref="AS335:AT335"/>
    <mergeCell ref="AL334:AM334"/>
    <mergeCell ref="AN334:AO334"/>
    <mergeCell ref="AS334:AT334"/>
    <mergeCell ref="AU334:AV334"/>
    <mergeCell ref="AX334:BB334"/>
    <mergeCell ref="BC334:BG334"/>
    <mergeCell ref="BH337:BL337"/>
    <mergeCell ref="E338:F338"/>
    <mergeCell ref="G338:I338"/>
    <mergeCell ref="J338:L338"/>
    <mergeCell ref="M338:N338"/>
    <mergeCell ref="O338:Q338"/>
    <mergeCell ref="AG338:AH338"/>
    <mergeCell ref="AL338:AM338"/>
    <mergeCell ref="AN338:AO338"/>
    <mergeCell ref="AS338:AT338"/>
    <mergeCell ref="BH336:BL336"/>
    <mergeCell ref="E337:F337"/>
    <mergeCell ref="G337:I337"/>
    <mergeCell ref="J337:L337"/>
    <mergeCell ref="M337:N337"/>
    <mergeCell ref="O337:Q337"/>
    <mergeCell ref="AG337:AH337"/>
    <mergeCell ref="AL337:AM337"/>
    <mergeCell ref="AN337:AO337"/>
    <mergeCell ref="AS337:AT337"/>
    <mergeCell ref="AL336:AM336"/>
    <mergeCell ref="AN336:AO336"/>
    <mergeCell ref="AS336:AT336"/>
    <mergeCell ref="AU336:AV336"/>
    <mergeCell ref="AX336:BB339"/>
    <mergeCell ref="BC336:BG336"/>
    <mergeCell ref="AU337:AV337"/>
    <mergeCell ref="BC337:BG337"/>
    <mergeCell ref="AU338:AV338"/>
    <mergeCell ref="BC338:BG338"/>
    <mergeCell ref="AN340:AO340"/>
    <mergeCell ref="AS340:AT340"/>
    <mergeCell ref="AU340:AV340"/>
    <mergeCell ref="AX340:BB340"/>
    <mergeCell ref="BC340:BG340"/>
    <mergeCell ref="BH340:BL340"/>
    <mergeCell ref="AU339:AV339"/>
    <mergeCell ref="BC339:BG339"/>
    <mergeCell ref="BH339:BL339"/>
    <mergeCell ref="E340:F340"/>
    <mergeCell ref="G340:I340"/>
    <mergeCell ref="J340:L340"/>
    <mergeCell ref="M340:N340"/>
    <mergeCell ref="O340:Q340"/>
    <mergeCell ref="AG340:AH340"/>
    <mergeCell ref="AL340:AM340"/>
    <mergeCell ref="BH338:BL338"/>
    <mergeCell ref="E339:F339"/>
    <mergeCell ref="G339:I339"/>
    <mergeCell ref="J339:L339"/>
    <mergeCell ref="M339:N339"/>
    <mergeCell ref="O339:Q339"/>
    <mergeCell ref="AG339:AH339"/>
    <mergeCell ref="AL339:AM339"/>
    <mergeCell ref="AN339:AO339"/>
    <mergeCell ref="AS339:AT339"/>
    <mergeCell ref="AU342:AV342"/>
    <mergeCell ref="AX342:BB342"/>
    <mergeCell ref="BC342:BG342"/>
    <mergeCell ref="BH342:BL342"/>
    <mergeCell ref="E343:F343"/>
    <mergeCell ref="G343:I343"/>
    <mergeCell ref="J343:L343"/>
    <mergeCell ref="M343:N343"/>
    <mergeCell ref="O343:Q343"/>
    <mergeCell ref="AG343:AH343"/>
    <mergeCell ref="BH341:BL341"/>
    <mergeCell ref="E342:F342"/>
    <mergeCell ref="G342:I342"/>
    <mergeCell ref="J342:L342"/>
    <mergeCell ref="M342:N342"/>
    <mergeCell ref="O342:Q342"/>
    <mergeCell ref="AG342:AH342"/>
    <mergeCell ref="AL342:AM342"/>
    <mergeCell ref="AN342:AO342"/>
    <mergeCell ref="AS342:AT342"/>
    <mergeCell ref="AL341:AM341"/>
    <mergeCell ref="AN341:AO341"/>
    <mergeCell ref="AS341:AT341"/>
    <mergeCell ref="AU341:AV341"/>
    <mergeCell ref="AX341:BB341"/>
    <mergeCell ref="BC341:BG341"/>
    <mergeCell ref="E341:F341"/>
    <mergeCell ref="G341:I341"/>
    <mergeCell ref="J341:L341"/>
    <mergeCell ref="M341:N341"/>
    <mergeCell ref="O341:Q341"/>
    <mergeCell ref="AG341:AH341"/>
    <mergeCell ref="AL345:AM345"/>
    <mergeCell ref="AN345:AO345"/>
    <mergeCell ref="AS345:AT345"/>
    <mergeCell ref="AU345:AV345"/>
    <mergeCell ref="BC345:BG345"/>
    <mergeCell ref="BH345:BL345"/>
    <mergeCell ref="AU344:AV344"/>
    <mergeCell ref="AX344:BB345"/>
    <mergeCell ref="BC344:BG344"/>
    <mergeCell ref="BH344:BL344"/>
    <mergeCell ref="E345:F345"/>
    <mergeCell ref="G345:I345"/>
    <mergeCell ref="J345:L345"/>
    <mergeCell ref="M345:N345"/>
    <mergeCell ref="O345:Q345"/>
    <mergeCell ref="AG345:AH345"/>
    <mergeCell ref="BH343:BL343"/>
    <mergeCell ref="E344:F344"/>
    <mergeCell ref="G344:I344"/>
    <mergeCell ref="J344:L344"/>
    <mergeCell ref="M344:N344"/>
    <mergeCell ref="O344:Q344"/>
    <mergeCell ref="AG344:AH344"/>
    <mergeCell ref="AL344:AM344"/>
    <mergeCell ref="AN344:AO344"/>
    <mergeCell ref="AS344:AT344"/>
    <mergeCell ref="AL343:AM343"/>
    <mergeCell ref="AN343:AO343"/>
    <mergeCell ref="AS343:AT343"/>
    <mergeCell ref="AU343:AV343"/>
    <mergeCell ref="AX343:BB343"/>
    <mergeCell ref="BC343:BG343"/>
    <mergeCell ref="AX347:BB347"/>
    <mergeCell ref="BC347:BG347"/>
    <mergeCell ref="BH347:BL347"/>
    <mergeCell ref="E348:F348"/>
    <mergeCell ref="G348:I348"/>
    <mergeCell ref="J348:L348"/>
    <mergeCell ref="M348:N348"/>
    <mergeCell ref="O348:Q348"/>
    <mergeCell ref="AL348:AM348"/>
    <mergeCell ref="BH346:BL346"/>
    <mergeCell ref="E347:F347"/>
    <mergeCell ref="G347:I347"/>
    <mergeCell ref="J347:L347"/>
    <mergeCell ref="M347:N347"/>
    <mergeCell ref="O347:Q347"/>
    <mergeCell ref="AG347:AH347"/>
    <mergeCell ref="AL347:AM347"/>
    <mergeCell ref="AN347:AO347"/>
    <mergeCell ref="AS347:AT347"/>
    <mergeCell ref="AL346:AM346"/>
    <mergeCell ref="AN346:AO346"/>
    <mergeCell ref="AS346:AT346"/>
    <mergeCell ref="AU346:AV346"/>
    <mergeCell ref="AX346:BB346"/>
    <mergeCell ref="BC346:BG346"/>
    <mergeCell ref="E346:F346"/>
    <mergeCell ref="G346:I346"/>
    <mergeCell ref="J346:L346"/>
    <mergeCell ref="M346:N346"/>
    <mergeCell ref="O346:Q346"/>
    <mergeCell ref="AG346:AH346"/>
    <mergeCell ref="E350:F350"/>
    <mergeCell ref="G350:I350"/>
    <mergeCell ref="J350:L350"/>
    <mergeCell ref="M350:N350"/>
    <mergeCell ref="O350:Q350"/>
    <mergeCell ref="E351:F351"/>
    <mergeCell ref="G351:I351"/>
    <mergeCell ref="J351:L351"/>
    <mergeCell ref="M351:N351"/>
    <mergeCell ref="O351:Q351"/>
    <mergeCell ref="AN348:AO348"/>
    <mergeCell ref="E349:F349"/>
    <mergeCell ref="G349:I349"/>
    <mergeCell ref="J349:L349"/>
    <mergeCell ref="M349:N349"/>
    <mergeCell ref="O349:Q349"/>
    <mergeCell ref="AU347:AV347"/>
    <mergeCell ref="C364:C365"/>
    <mergeCell ref="D364:D365"/>
    <mergeCell ref="E364:G365"/>
    <mergeCell ref="H364:H365"/>
    <mergeCell ref="I364:I365"/>
    <mergeCell ref="BH353:BL353"/>
    <mergeCell ref="AI354:AJ354"/>
    <mergeCell ref="BI354:BM354"/>
    <mergeCell ref="BI355:BM355"/>
    <mergeCell ref="BI356:BM356"/>
    <mergeCell ref="E357:G357"/>
    <mergeCell ref="BI357:BM357"/>
    <mergeCell ref="BH351:BL351"/>
    <mergeCell ref="E352:F352"/>
    <mergeCell ref="G352:I352"/>
    <mergeCell ref="J352:L352"/>
    <mergeCell ref="M352:N352"/>
    <mergeCell ref="O352:Q352"/>
    <mergeCell ref="BH352:BL352"/>
    <mergeCell ref="R364:S365"/>
    <mergeCell ref="T364:T365"/>
    <mergeCell ref="U364:W365"/>
    <mergeCell ref="X364:Y365"/>
    <mergeCell ref="D366:D367"/>
    <mergeCell ref="E366:E367"/>
    <mergeCell ref="F366:G367"/>
    <mergeCell ref="H366:H367"/>
    <mergeCell ref="I366:J367"/>
    <mergeCell ref="K366:K367"/>
    <mergeCell ref="J364:J365"/>
    <mergeCell ref="K364:L365"/>
    <mergeCell ref="M364:M365"/>
    <mergeCell ref="N364:O365"/>
    <mergeCell ref="P364:P365"/>
    <mergeCell ref="Q364:Q365"/>
    <mergeCell ref="BI358:BM358"/>
    <mergeCell ref="E361:F361"/>
    <mergeCell ref="H361:I361"/>
    <mergeCell ref="K361:L361"/>
    <mergeCell ref="U361:V361"/>
    <mergeCell ref="Q368:Q369"/>
    <mergeCell ref="T368:T369"/>
    <mergeCell ref="U368:W369"/>
    <mergeCell ref="X368:Y369"/>
    <mergeCell ref="L369:M369"/>
    <mergeCell ref="O369:P369"/>
    <mergeCell ref="E368:E369"/>
    <mergeCell ref="F368:G369"/>
    <mergeCell ref="H368:H369"/>
    <mergeCell ref="I368:J369"/>
    <mergeCell ref="K368:K369"/>
    <mergeCell ref="L368:P368"/>
    <mergeCell ref="L366:P366"/>
    <mergeCell ref="Q366:Q367"/>
    <mergeCell ref="U366:W366"/>
    <mergeCell ref="L367:M367"/>
    <mergeCell ref="O367:P367"/>
    <mergeCell ref="U367:W367"/>
    <mergeCell ref="B377:R377"/>
    <mergeCell ref="S377:Z377"/>
    <mergeCell ref="B378:R378"/>
    <mergeCell ref="S378:Z378"/>
    <mergeCell ref="B379:R379"/>
    <mergeCell ref="S379:Z379"/>
    <mergeCell ref="L370:M371"/>
    <mergeCell ref="N370:N371"/>
    <mergeCell ref="O370:Q370"/>
    <mergeCell ref="R370:R371"/>
    <mergeCell ref="T370:T371"/>
    <mergeCell ref="U370:W371"/>
    <mergeCell ref="O371:Q371"/>
    <mergeCell ref="D370:D371"/>
    <mergeCell ref="E370:E371"/>
    <mergeCell ref="F370:G371"/>
    <mergeCell ref="H370:H371"/>
    <mergeCell ref="I370:J371"/>
    <mergeCell ref="K370:K371"/>
    <mergeCell ref="C425:F425"/>
    <mergeCell ref="G425:I425"/>
    <mergeCell ref="J425:O425"/>
    <mergeCell ref="P425:R425"/>
    <mergeCell ref="S425:X425"/>
    <mergeCell ref="C426:F426"/>
    <mergeCell ref="G426:I426"/>
    <mergeCell ref="J426:O426"/>
    <mergeCell ref="P426:R426"/>
    <mergeCell ref="S426:X426"/>
    <mergeCell ref="C422:C423"/>
    <mergeCell ref="D422:D423"/>
    <mergeCell ref="E422:H422"/>
    <mergeCell ref="O422:O423"/>
    <mergeCell ref="P422:P423"/>
    <mergeCell ref="Q422:U422"/>
    <mergeCell ref="E423:H423"/>
    <mergeCell ref="E432:H432"/>
    <mergeCell ref="K432:P432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V428:Y429"/>
    <mergeCell ref="C431:C432"/>
    <mergeCell ref="D431:D432"/>
    <mergeCell ref="E431:H431"/>
    <mergeCell ref="I431:I432"/>
    <mergeCell ref="K431:M431"/>
    <mergeCell ref="O431:P431"/>
    <mergeCell ref="R431:R432"/>
    <mergeCell ref="T431:U432"/>
    <mergeCell ref="V431:W432"/>
    <mergeCell ref="C428:C429"/>
    <mergeCell ref="D428:D429"/>
    <mergeCell ref="E428:I428"/>
    <mergeCell ref="J428:J429"/>
    <mergeCell ref="L428:N428"/>
    <mergeCell ref="U428:U429"/>
    <mergeCell ref="Q439:S439"/>
    <mergeCell ref="T439:V439"/>
    <mergeCell ref="W439:Y439"/>
    <mergeCell ref="B440:C440"/>
    <mergeCell ref="D440:G440"/>
    <mergeCell ref="H440:J440"/>
    <mergeCell ref="K440:M440"/>
    <mergeCell ref="N440:P440"/>
    <mergeCell ref="Q440:S440"/>
    <mergeCell ref="T440:V440"/>
    <mergeCell ref="K436:K437"/>
    <mergeCell ref="M436:M437"/>
    <mergeCell ref="N436:N437"/>
    <mergeCell ref="O436:O437"/>
    <mergeCell ref="B439:C439"/>
    <mergeCell ref="D439:G439"/>
    <mergeCell ref="H439:J439"/>
    <mergeCell ref="K439:M439"/>
    <mergeCell ref="N439:P439"/>
    <mergeCell ref="AS442:AT443"/>
    <mergeCell ref="AU442:AV443"/>
    <mergeCell ref="B444:D445"/>
    <mergeCell ref="E444:F445"/>
    <mergeCell ref="G444:I445"/>
    <mergeCell ref="J444:L445"/>
    <mergeCell ref="M444:N445"/>
    <mergeCell ref="O444:Q445"/>
    <mergeCell ref="AG444:AH444"/>
    <mergeCell ref="AL444:AM444"/>
    <mergeCell ref="AD442:AF443"/>
    <mergeCell ref="AG442:AH443"/>
    <mergeCell ref="AK442:AK443"/>
    <mergeCell ref="AM442:AM443"/>
    <mergeCell ref="AO442:AO443"/>
    <mergeCell ref="AQ442:AQ443"/>
    <mergeCell ref="W440:Y440"/>
    <mergeCell ref="B442:D443"/>
    <mergeCell ref="E442:F443"/>
    <mergeCell ref="G442:I443"/>
    <mergeCell ref="J442:L443"/>
    <mergeCell ref="M442:N443"/>
    <mergeCell ref="O442:Q443"/>
    <mergeCell ref="AX445:BB445"/>
    <mergeCell ref="BC445:BG445"/>
    <mergeCell ref="BH445:BL445"/>
    <mergeCell ref="E446:F446"/>
    <mergeCell ref="G446:I446"/>
    <mergeCell ref="J446:L446"/>
    <mergeCell ref="M446:N446"/>
    <mergeCell ref="O446:Q446"/>
    <mergeCell ref="AG446:AH446"/>
    <mergeCell ref="AL446:AM446"/>
    <mergeCell ref="AN444:AO444"/>
    <mergeCell ref="AS444:AT444"/>
    <mergeCell ref="AU444:AV444"/>
    <mergeCell ref="AG445:AH445"/>
    <mergeCell ref="AL445:AM445"/>
    <mergeCell ref="AN445:AO445"/>
    <mergeCell ref="AS445:AT445"/>
    <mergeCell ref="AU445:AV445"/>
    <mergeCell ref="AL447:AM447"/>
    <mergeCell ref="AN447:AO447"/>
    <mergeCell ref="AS447:AT447"/>
    <mergeCell ref="AU447:AV447"/>
    <mergeCell ref="BC447:BG447"/>
    <mergeCell ref="BH447:BL447"/>
    <mergeCell ref="E447:F447"/>
    <mergeCell ref="G447:I447"/>
    <mergeCell ref="J447:L447"/>
    <mergeCell ref="M447:N447"/>
    <mergeCell ref="O447:Q447"/>
    <mergeCell ref="AG447:AH447"/>
    <mergeCell ref="AN446:AO446"/>
    <mergeCell ref="AS446:AT446"/>
    <mergeCell ref="AU446:AV446"/>
    <mergeCell ref="AX446:BB449"/>
    <mergeCell ref="BC446:BG446"/>
    <mergeCell ref="BH446:BL446"/>
    <mergeCell ref="AL449:AM449"/>
    <mergeCell ref="AN449:AO449"/>
    <mergeCell ref="AS449:AT449"/>
    <mergeCell ref="AU449:AV449"/>
    <mergeCell ref="BC449:BG449"/>
    <mergeCell ref="BH449:BL449"/>
    <mergeCell ref="E449:F449"/>
    <mergeCell ref="G449:I449"/>
    <mergeCell ref="J449:L449"/>
    <mergeCell ref="M449:N449"/>
    <mergeCell ref="O449:Q449"/>
    <mergeCell ref="AG449:AH449"/>
    <mergeCell ref="AL448:AM448"/>
    <mergeCell ref="AN448:AO448"/>
    <mergeCell ref="AS448:AT448"/>
    <mergeCell ref="AU448:AV448"/>
    <mergeCell ref="BC448:BG448"/>
    <mergeCell ref="BH448:BL448"/>
    <mergeCell ref="E448:F448"/>
    <mergeCell ref="G448:I448"/>
    <mergeCell ref="J448:L448"/>
    <mergeCell ref="M448:N448"/>
    <mergeCell ref="O448:Q448"/>
    <mergeCell ref="AG448:AH448"/>
    <mergeCell ref="AU451:AV451"/>
    <mergeCell ref="AX451:BB451"/>
    <mergeCell ref="BC451:BG451"/>
    <mergeCell ref="BH451:BL451"/>
    <mergeCell ref="E452:F452"/>
    <mergeCell ref="G452:I452"/>
    <mergeCell ref="J452:L452"/>
    <mergeCell ref="M452:N452"/>
    <mergeCell ref="O452:Q452"/>
    <mergeCell ref="AG452:AH452"/>
    <mergeCell ref="BH450:BL450"/>
    <mergeCell ref="E451:F451"/>
    <mergeCell ref="G451:I451"/>
    <mergeCell ref="J451:L451"/>
    <mergeCell ref="M451:N451"/>
    <mergeCell ref="O451:Q451"/>
    <mergeCell ref="AG451:AH451"/>
    <mergeCell ref="AL451:AM451"/>
    <mergeCell ref="AN451:AO451"/>
    <mergeCell ref="AS451:AT451"/>
    <mergeCell ref="AL450:AM450"/>
    <mergeCell ref="AN450:AO450"/>
    <mergeCell ref="AS450:AT450"/>
    <mergeCell ref="AU450:AV450"/>
    <mergeCell ref="AX450:BB450"/>
    <mergeCell ref="BC450:BG450"/>
    <mergeCell ref="E450:F450"/>
    <mergeCell ref="G450:I450"/>
    <mergeCell ref="J450:L450"/>
    <mergeCell ref="M450:N450"/>
    <mergeCell ref="O450:Q450"/>
    <mergeCell ref="AG450:AH450"/>
    <mergeCell ref="AU453:AV453"/>
    <mergeCell ref="AX453:BB453"/>
    <mergeCell ref="BC453:BG453"/>
    <mergeCell ref="BH453:BL453"/>
    <mergeCell ref="E454:F454"/>
    <mergeCell ref="G454:I454"/>
    <mergeCell ref="J454:L454"/>
    <mergeCell ref="M454:N454"/>
    <mergeCell ref="O454:Q454"/>
    <mergeCell ref="AG454:AH454"/>
    <mergeCell ref="BH452:BL452"/>
    <mergeCell ref="E453:F453"/>
    <mergeCell ref="G453:I453"/>
    <mergeCell ref="J453:L453"/>
    <mergeCell ref="M453:N453"/>
    <mergeCell ref="O453:Q453"/>
    <mergeCell ref="AG453:AH453"/>
    <mergeCell ref="AL453:AM453"/>
    <mergeCell ref="AN453:AO453"/>
    <mergeCell ref="AS453:AT453"/>
    <mergeCell ref="AL452:AM452"/>
    <mergeCell ref="AN452:AO452"/>
    <mergeCell ref="AS452:AT452"/>
    <mergeCell ref="AU452:AV452"/>
    <mergeCell ref="AX452:BB452"/>
    <mergeCell ref="BC452:BG452"/>
    <mergeCell ref="BH454:BL454"/>
    <mergeCell ref="E455:F455"/>
    <mergeCell ref="G455:I455"/>
    <mergeCell ref="J455:L455"/>
    <mergeCell ref="M455:N455"/>
    <mergeCell ref="O455:Q455"/>
    <mergeCell ref="AG455:AH455"/>
    <mergeCell ref="AL455:AM455"/>
    <mergeCell ref="AN455:AO455"/>
    <mergeCell ref="AS455:AT455"/>
    <mergeCell ref="AL454:AM454"/>
    <mergeCell ref="AN454:AO454"/>
    <mergeCell ref="AS454:AT454"/>
    <mergeCell ref="AU454:AV454"/>
    <mergeCell ref="AX454:BB455"/>
    <mergeCell ref="BC454:BG454"/>
    <mergeCell ref="AU455:AV455"/>
    <mergeCell ref="BC455:BG455"/>
    <mergeCell ref="AU456:AV456"/>
    <mergeCell ref="AX456:BB456"/>
    <mergeCell ref="BC456:BG456"/>
    <mergeCell ref="BH456:BL456"/>
    <mergeCell ref="E457:F457"/>
    <mergeCell ref="G457:I457"/>
    <mergeCell ref="J457:L457"/>
    <mergeCell ref="M457:N457"/>
    <mergeCell ref="O457:Q457"/>
    <mergeCell ref="AG457:AH457"/>
    <mergeCell ref="BH455:BL455"/>
    <mergeCell ref="E456:F456"/>
    <mergeCell ref="G456:I456"/>
    <mergeCell ref="J456:L456"/>
    <mergeCell ref="M456:N456"/>
    <mergeCell ref="O456:Q456"/>
    <mergeCell ref="AG456:AH456"/>
    <mergeCell ref="AL456:AM456"/>
    <mergeCell ref="AN456:AO456"/>
    <mergeCell ref="AS456:AT456"/>
    <mergeCell ref="AU458:AV458"/>
    <mergeCell ref="E459:F459"/>
    <mergeCell ref="G459:I459"/>
    <mergeCell ref="J459:L459"/>
    <mergeCell ref="M459:N459"/>
    <mergeCell ref="O459:Q459"/>
    <mergeCell ref="AG459:AH459"/>
    <mergeCell ref="AL459:AM459"/>
    <mergeCell ref="AN459:AO459"/>
    <mergeCell ref="AS459:AT459"/>
    <mergeCell ref="BH457:BL457"/>
    <mergeCell ref="E458:F458"/>
    <mergeCell ref="G458:I458"/>
    <mergeCell ref="J458:L458"/>
    <mergeCell ref="M458:N458"/>
    <mergeCell ref="O458:Q458"/>
    <mergeCell ref="AG458:AH458"/>
    <mergeCell ref="AL458:AM458"/>
    <mergeCell ref="AN458:AO458"/>
    <mergeCell ref="AS458:AT458"/>
    <mergeCell ref="AL457:AM457"/>
    <mergeCell ref="AN457:AO457"/>
    <mergeCell ref="AS457:AT457"/>
    <mergeCell ref="AU457:AV457"/>
    <mergeCell ref="AX457:BB457"/>
    <mergeCell ref="BC457:BG457"/>
    <mergeCell ref="AU460:AV460"/>
    <mergeCell ref="E461:F461"/>
    <mergeCell ref="G461:I461"/>
    <mergeCell ref="J461:L461"/>
    <mergeCell ref="M461:N461"/>
    <mergeCell ref="O461:Q461"/>
    <mergeCell ref="AG461:AH461"/>
    <mergeCell ref="AL461:AM461"/>
    <mergeCell ref="AN461:AO461"/>
    <mergeCell ref="AS461:AT461"/>
    <mergeCell ref="AU459:AV459"/>
    <mergeCell ref="E460:F460"/>
    <mergeCell ref="G460:I460"/>
    <mergeCell ref="J460:L460"/>
    <mergeCell ref="M460:N460"/>
    <mergeCell ref="O460:Q460"/>
    <mergeCell ref="AG460:AH460"/>
    <mergeCell ref="AL460:AM460"/>
    <mergeCell ref="AN460:AO460"/>
    <mergeCell ref="AS460:AT460"/>
    <mergeCell ref="AU462:AV462"/>
    <mergeCell ref="E463:F463"/>
    <mergeCell ref="G463:I463"/>
    <mergeCell ref="J463:L463"/>
    <mergeCell ref="M463:N463"/>
    <mergeCell ref="O463:Q463"/>
    <mergeCell ref="AG463:AH463"/>
    <mergeCell ref="AL463:AM463"/>
    <mergeCell ref="AN463:AO463"/>
    <mergeCell ref="AS463:AT463"/>
    <mergeCell ref="AU461:AV461"/>
    <mergeCell ref="E462:F462"/>
    <mergeCell ref="G462:I462"/>
    <mergeCell ref="J462:L462"/>
    <mergeCell ref="M462:N462"/>
    <mergeCell ref="O462:Q462"/>
    <mergeCell ref="AG462:AH462"/>
    <mergeCell ref="AL462:AM462"/>
    <mergeCell ref="AN462:AO462"/>
    <mergeCell ref="AS462:AT462"/>
    <mergeCell ref="AU464:AV464"/>
    <mergeCell ref="E465:F465"/>
    <mergeCell ref="G465:I465"/>
    <mergeCell ref="J465:L465"/>
    <mergeCell ref="M465:N465"/>
    <mergeCell ref="O465:Q465"/>
    <mergeCell ref="AG465:AH465"/>
    <mergeCell ref="AL465:AM465"/>
    <mergeCell ref="AN465:AO465"/>
    <mergeCell ref="AS465:AT465"/>
    <mergeCell ref="AU463:AV463"/>
    <mergeCell ref="E464:F464"/>
    <mergeCell ref="G464:I464"/>
    <mergeCell ref="J464:L464"/>
    <mergeCell ref="M464:N464"/>
    <mergeCell ref="O464:Q464"/>
    <mergeCell ref="AG464:AH464"/>
    <mergeCell ref="AL464:AM464"/>
    <mergeCell ref="AN464:AO464"/>
    <mergeCell ref="AS464:AT464"/>
    <mergeCell ref="AU466:AV466"/>
    <mergeCell ref="E467:F467"/>
    <mergeCell ref="G467:I467"/>
    <mergeCell ref="J467:L467"/>
    <mergeCell ref="M467:N467"/>
    <mergeCell ref="O467:Q467"/>
    <mergeCell ref="AG467:AH467"/>
    <mergeCell ref="AL467:AM467"/>
    <mergeCell ref="AN467:AO467"/>
    <mergeCell ref="AS467:AT467"/>
    <mergeCell ref="AU465:AV465"/>
    <mergeCell ref="E466:F466"/>
    <mergeCell ref="G466:I466"/>
    <mergeCell ref="J466:L466"/>
    <mergeCell ref="M466:N466"/>
    <mergeCell ref="O466:Q466"/>
    <mergeCell ref="AG466:AH466"/>
    <mergeCell ref="AL466:AM466"/>
    <mergeCell ref="AN466:AO466"/>
    <mergeCell ref="AS466:AT466"/>
    <mergeCell ref="AU469:AV469"/>
    <mergeCell ref="AG470:AH470"/>
    <mergeCell ref="AL470:AM470"/>
    <mergeCell ref="AN470:AO470"/>
    <mergeCell ref="AS470:AT470"/>
    <mergeCell ref="AU470:AV470"/>
    <mergeCell ref="AU468:AV468"/>
    <mergeCell ref="E469:F469"/>
    <mergeCell ref="G469:I469"/>
    <mergeCell ref="J469:L469"/>
    <mergeCell ref="M469:N469"/>
    <mergeCell ref="O469:Q469"/>
    <mergeCell ref="AG469:AH469"/>
    <mergeCell ref="AL469:AM469"/>
    <mergeCell ref="AN469:AO469"/>
    <mergeCell ref="AS469:AT469"/>
    <mergeCell ref="AU467:AV467"/>
    <mergeCell ref="E468:F468"/>
    <mergeCell ref="G468:I468"/>
    <mergeCell ref="J468:L468"/>
    <mergeCell ref="M468:N468"/>
    <mergeCell ref="O468:Q468"/>
    <mergeCell ref="AG468:AH468"/>
    <mergeCell ref="AL468:AM468"/>
    <mergeCell ref="AN468:AO468"/>
    <mergeCell ref="AS468:AT468"/>
    <mergeCell ref="U471:U472"/>
    <mergeCell ref="V471:Y472"/>
    <mergeCell ref="Z471:AA472"/>
    <mergeCell ref="AG471:AH471"/>
    <mergeCell ref="AL471:AM471"/>
    <mergeCell ref="AN471:AO471"/>
    <mergeCell ref="K471:L472"/>
    <mergeCell ref="M471:M472"/>
    <mergeCell ref="N471:P472"/>
    <mergeCell ref="Q471:Q472"/>
    <mergeCell ref="R471:R472"/>
    <mergeCell ref="S471:T472"/>
    <mergeCell ref="C471:C472"/>
    <mergeCell ref="D471:D472"/>
    <mergeCell ref="E471:G472"/>
    <mergeCell ref="H471:H472"/>
    <mergeCell ref="I471:I472"/>
    <mergeCell ref="J471:J472"/>
    <mergeCell ref="AG473:AH473"/>
    <mergeCell ref="AL473:AM473"/>
    <mergeCell ref="AN473:AO473"/>
    <mergeCell ref="AS473:AT473"/>
    <mergeCell ref="AU473:AV473"/>
    <mergeCell ref="AG474:AH474"/>
    <mergeCell ref="AL474:AM474"/>
    <mergeCell ref="AN474:AO474"/>
    <mergeCell ref="AS474:AT474"/>
    <mergeCell ref="AU474:AV474"/>
    <mergeCell ref="AS471:AT471"/>
    <mergeCell ref="AU471:AV471"/>
    <mergeCell ref="AG472:AH472"/>
    <mergeCell ref="AL472:AM472"/>
    <mergeCell ref="AN472:AO472"/>
    <mergeCell ref="AS472:AT472"/>
    <mergeCell ref="AU472:AV472"/>
    <mergeCell ref="AU476:AV476"/>
    <mergeCell ref="AG477:AH477"/>
    <mergeCell ref="AL477:AM477"/>
    <mergeCell ref="AN477:AO477"/>
    <mergeCell ref="AS477:AT477"/>
    <mergeCell ref="AU477:AV477"/>
    <mergeCell ref="AG475:AH475"/>
    <mergeCell ref="AL475:AM475"/>
    <mergeCell ref="AN475:AO475"/>
    <mergeCell ref="AS475:AT475"/>
    <mergeCell ref="AU475:AV475"/>
    <mergeCell ref="E476:I476"/>
    <mergeCell ref="AG476:AH476"/>
    <mergeCell ref="AL476:AM476"/>
    <mergeCell ref="AN476:AO476"/>
    <mergeCell ref="AS476:AT476"/>
    <mergeCell ref="C475:C476"/>
    <mergeCell ref="D475:D476"/>
    <mergeCell ref="E475:I475"/>
    <mergeCell ref="V475:V476"/>
    <mergeCell ref="W475:X476"/>
    <mergeCell ref="Y475:Z476"/>
    <mergeCell ref="L482:P482"/>
    <mergeCell ref="Q482:Q483"/>
    <mergeCell ref="U482:W482"/>
    <mergeCell ref="L483:M483"/>
    <mergeCell ref="O483:P483"/>
    <mergeCell ref="U483:W483"/>
    <mergeCell ref="D482:D483"/>
    <mergeCell ref="E482:E483"/>
    <mergeCell ref="F482:G483"/>
    <mergeCell ref="H482:H483"/>
    <mergeCell ref="I482:J483"/>
    <mergeCell ref="K482:K483"/>
    <mergeCell ref="AL478:AM478"/>
    <mergeCell ref="AN478:AO478"/>
    <mergeCell ref="AS478:AT478"/>
    <mergeCell ref="AU478:AV478"/>
    <mergeCell ref="AL479:AM479"/>
    <mergeCell ref="AN479:AO479"/>
    <mergeCell ref="D478:D479"/>
    <mergeCell ref="F478:H478"/>
    <mergeCell ref="Q478:Q479"/>
    <mergeCell ref="R478:S479"/>
    <mergeCell ref="T478:U479"/>
    <mergeCell ref="AG478:AH478"/>
    <mergeCell ref="R486:R487"/>
    <mergeCell ref="T486:T487"/>
    <mergeCell ref="U486:W487"/>
    <mergeCell ref="O487:Q487"/>
    <mergeCell ref="L492:M492"/>
    <mergeCell ref="O492:P492"/>
    <mergeCell ref="R492:T492"/>
    <mergeCell ref="AY485:AZ485"/>
    <mergeCell ref="D486:D487"/>
    <mergeCell ref="E486:E487"/>
    <mergeCell ref="F486:G487"/>
    <mergeCell ref="H486:H487"/>
    <mergeCell ref="I486:J487"/>
    <mergeCell ref="K486:K487"/>
    <mergeCell ref="L486:M487"/>
    <mergeCell ref="N486:N487"/>
    <mergeCell ref="O486:Q486"/>
    <mergeCell ref="Q484:Q485"/>
    <mergeCell ref="T484:T485"/>
    <mergeCell ref="U484:W485"/>
    <mergeCell ref="X484:Y485"/>
    <mergeCell ref="AI484:AJ484"/>
    <mergeCell ref="L485:M485"/>
    <mergeCell ref="O485:P485"/>
    <mergeCell ref="E484:E485"/>
    <mergeCell ref="F484:G485"/>
    <mergeCell ref="H484:H485"/>
    <mergeCell ref="I484:J485"/>
    <mergeCell ref="K484:K485"/>
    <mergeCell ref="L484:P484"/>
    <mergeCell ref="B500:R500"/>
    <mergeCell ref="S500:Z500"/>
    <mergeCell ref="B524:F525"/>
    <mergeCell ref="G524:N524"/>
    <mergeCell ref="O524:R524"/>
    <mergeCell ref="S524:W524"/>
    <mergeCell ref="X524:Z524"/>
    <mergeCell ref="G525:J525"/>
    <mergeCell ref="K525:N525"/>
    <mergeCell ref="O525:R525"/>
    <mergeCell ref="E493:F493"/>
    <mergeCell ref="I493:J493"/>
    <mergeCell ref="M493:O493"/>
    <mergeCell ref="B498:R498"/>
    <mergeCell ref="S498:Z498"/>
    <mergeCell ref="B499:R499"/>
    <mergeCell ref="S499:Z499"/>
    <mergeCell ref="W529:Z529"/>
    <mergeCell ref="B530:C531"/>
    <mergeCell ref="D530:G531"/>
    <mergeCell ref="H530:I531"/>
    <mergeCell ref="J530:M531"/>
    <mergeCell ref="N530:R531"/>
    <mergeCell ref="S530:V531"/>
    <mergeCell ref="W530:Z531"/>
    <mergeCell ref="B529:C529"/>
    <mergeCell ref="D529:G529"/>
    <mergeCell ref="H529:I529"/>
    <mergeCell ref="J529:M529"/>
    <mergeCell ref="N529:R529"/>
    <mergeCell ref="S529:V529"/>
    <mergeCell ref="S525:W525"/>
    <mergeCell ref="X525:Z525"/>
    <mergeCell ref="B526:F526"/>
    <mergeCell ref="G526:J526"/>
    <mergeCell ref="K526:N526"/>
    <mergeCell ref="O526:R526"/>
    <mergeCell ref="S526:W526"/>
    <mergeCell ref="X526:Z526"/>
    <mergeCell ref="B543:E543"/>
    <mergeCell ref="F543:M543"/>
    <mergeCell ref="N543:V543"/>
    <mergeCell ref="W543:Z543"/>
    <mergeCell ref="B544:E544"/>
    <mergeCell ref="F544:M544"/>
    <mergeCell ref="N544:V544"/>
    <mergeCell ref="W544:Z544"/>
    <mergeCell ref="B537:E537"/>
    <mergeCell ref="F537:M537"/>
    <mergeCell ref="N537:V537"/>
    <mergeCell ref="W537:Z537"/>
    <mergeCell ref="B542:E542"/>
    <mergeCell ref="F542:M542"/>
    <mergeCell ref="N542:V542"/>
    <mergeCell ref="W542:Z542"/>
    <mergeCell ref="B535:E535"/>
    <mergeCell ref="F535:M535"/>
    <mergeCell ref="N535:V535"/>
    <mergeCell ref="W535:Z535"/>
    <mergeCell ref="B536:E536"/>
    <mergeCell ref="F536:M536"/>
    <mergeCell ref="N536:V536"/>
    <mergeCell ref="W536:Z536"/>
  </mergeCells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E43F-428E-428D-936D-463EFE4DF9D4}">
  <sheetPr>
    <tabColor rgb="FFFF0000"/>
  </sheetPr>
  <dimension ref="A1:AC7"/>
  <sheetViews>
    <sheetView view="pageBreakPreview" topLeftCell="A30" zoomScale="55" zoomScaleNormal="100" zoomScaleSheetLayoutView="55" zoomScalePageLayoutView="55" workbookViewId="0">
      <selection activeCell="B9" sqref="B9:F9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20.25" customHeight="1">
      <c r="A1" s="426"/>
      <c r="B1" s="426"/>
      <c r="C1" s="426"/>
      <c r="D1" s="426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808"/>
      <c r="W1" s="808"/>
      <c r="X1" s="808"/>
      <c r="Y1" s="808"/>
      <c r="Z1" s="808"/>
      <c r="AA1" s="808"/>
      <c r="AB1" s="808"/>
      <c r="AC1" s="808"/>
    </row>
    <row r="2" spans="1:29" ht="21" customHeight="1">
      <c r="A2" s="404"/>
      <c r="B2" s="404"/>
      <c r="C2" s="426"/>
      <c r="D2" s="426"/>
      <c r="E2" s="427"/>
      <c r="F2" s="429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29" ht="15.75" customHeight="1"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</row>
    <row r="4" spans="1:29" ht="15.75" customHeight="1"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</row>
    <row r="5" spans="1:29" ht="15.75" customHeight="1">
      <c r="B5" s="435" t="s">
        <v>449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</row>
    <row r="6" spans="1:29" ht="15" customHeight="1">
      <c r="A6" s="172"/>
      <c r="B6" s="172" t="s">
        <v>450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</row>
    <row r="7" spans="1:29" ht="15" customHeight="1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</row>
  </sheetData>
  <mergeCells count="1">
    <mergeCell ref="V1:AC1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>&amp;C&amp;K01+048본문서는 (주)퍼즐이앤씨의 고유한 자산입니다.&amp;R&amp;"-,굵게"&amp;9&amp;K01+042(주)퍼즐이앤씨 기업부설 연구소</oddHeader>
    <oddFooter>&amp;L&amp;"-,굵게"&amp;9&amp;K01+049 * 페블테크는 ㈜퍼즐이앤씨의 고유한 자산으로서, 모든 권리는 ㈜퍼즐이앤씨에 있으며, 특허 침해시 민,형사상 책임 및 특허료 지급,
   공사중지등의 불이익이 있을수 있습니다.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6</vt:i4>
      </vt:variant>
    </vt:vector>
  </HeadingPairs>
  <TitlesOfParts>
    <vt:vector size="20" baseType="lpstr">
      <vt:lpstr>입력</vt:lpstr>
      <vt:lpstr>검토서표지</vt:lpstr>
      <vt:lpstr>검토서갑지</vt:lpstr>
      <vt:lpstr>계산서표지</vt:lpstr>
      <vt:lpstr>제출문</vt:lpstr>
      <vt:lpstr>계산서인장</vt:lpstr>
      <vt:lpstr>자격증사본</vt:lpstr>
      <vt:lpstr>계산서 갑지</vt:lpstr>
      <vt:lpstr>지상1층</vt:lpstr>
      <vt:lpstr>PIT</vt:lpstr>
      <vt:lpstr>기초안정성확인서</vt:lpstr>
      <vt:lpstr>B-7.4(무보강)</vt:lpstr>
      <vt:lpstr>B-5.1(무보강)</vt:lpstr>
      <vt:lpstr>공법개요</vt:lpstr>
      <vt:lpstr>PIT!Print_Area</vt:lpstr>
      <vt:lpstr>검토서갑지!Print_Area</vt:lpstr>
      <vt:lpstr>'계산서 갑지'!Print_Area</vt:lpstr>
      <vt:lpstr>계산서인장!Print_Area</vt:lpstr>
      <vt:lpstr>공법개요!Print_Area</vt:lpstr>
      <vt:lpstr>지상1층!Print_Area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Vny0073</dc:creator>
  <cp:lastModifiedBy>창호 윤</cp:lastModifiedBy>
  <cp:lastPrinted>2025-07-23T03:22:30Z</cp:lastPrinted>
  <dcterms:created xsi:type="dcterms:W3CDTF">2024-08-19T22:48:04Z</dcterms:created>
  <dcterms:modified xsi:type="dcterms:W3CDTF">2025-08-01T06:06:30Z</dcterms:modified>
</cp:coreProperties>
</file>