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dup\Desktop\CS\JavaScript\Php\Kanshi.Anime-Recommendation\extra\data\"/>
    </mc:Choice>
  </mc:AlternateContent>
  <xr:revisionPtr revIDLastSave="0" documentId="13_ncr:1_{3ED69F0C-F754-483D-B595-730A14C0CD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All!$A$1:$E$5000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1" i="1" l="1"/>
  <c r="A1584" i="1"/>
  <c r="A1585" i="1"/>
  <c r="A1586" i="1"/>
  <c r="A1587" i="1"/>
  <c r="A511" i="1"/>
  <c r="A1588" i="1"/>
  <c r="A512" i="1"/>
  <c r="A1589" i="1"/>
  <c r="A1590" i="1"/>
  <c r="A1591" i="1"/>
  <c r="A1592" i="1"/>
  <c r="A1593" i="1"/>
  <c r="A1594" i="1"/>
  <c r="A1595" i="1"/>
  <c r="A1596" i="1"/>
  <c r="AF7" i="1" s="1" a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203" i="1"/>
  <c r="A513" i="1"/>
  <c r="A332" i="1"/>
  <c r="A251" i="1"/>
  <c r="A1610" i="1"/>
  <c r="A1611" i="1"/>
  <c r="A1612" i="1"/>
  <c r="A1613" i="1"/>
  <c r="A1614" i="1"/>
  <c r="A5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932" i="1"/>
  <c r="A933" i="1"/>
  <c r="A388" i="1"/>
  <c r="A934" i="1"/>
  <c r="A935" i="1"/>
  <c r="A356" i="1"/>
  <c r="A51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1627" i="1"/>
  <c r="A1628" i="1"/>
  <c r="A1629" i="1"/>
  <c r="A1630" i="1"/>
  <c r="A1631" i="1"/>
  <c r="A169" i="1"/>
  <c r="A516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343" i="1"/>
  <c r="A689" i="1"/>
  <c r="A690" i="1"/>
  <c r="A691" i="1"/>
  <c r="A692" i="1"/>
  <c r="A693" i="1"/>
  <c r="A694" i="1"/>
  <c r="A695" i="1"/>
  <c r="A344" i="1"/>
  <c r="A696" i="1"/>
  <c r="A291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389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267" i="1"/>
  <c r="A732" i="1"/>
  <c r="A733" i="1"/>
  <c r="A1650" i="1"/>
  <c r="A1651" i="1"/>
  <c r="A1652" i="1"/>
  <c r="A1653" i="1"/>
  <c r="A1654" i="1"/>
  <c r="A1655" i="1"/>
  <c r="A517" i="1"/>
  <c r="A1656" i="1"/>
  <c r="A432" i="1"/>
  <c r="A1657" i="1"/>
  <c r="A433" i="1"/>
  <c r="A434" i="1"/>
  <c r="A1658" i="1"/>
  <c r="A1659" i="1"/>
  <c r="A1660" i="1"/>
  <c r="A1661" i="1"/>
  <c r="A1662" i="1"/>
  <c r="A1663" i="1"/>
  <c r="A1664" i="1"/>
  <c r="A552" i="1"/>
  <c r="A1665" i="1"/>
  <c r="A357" i="1"/>
  <c r="A1666" i="1"/>
  <c r="A1667" i="1"/>
  <c r="A1668" i="1"/>
  <c r="A1669" i="1"/>
  <c r="A518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1693" i="1"/>
  <c r="A1694" i="1"/>
  <c r="A1695" i="1"/>
  <c r="A1696" i="1"/>
  <c r="A1697" i="1"/>
  <c r="A1698" i="1"/>
  <c r="A216" i="1"/>
  <c r="A1699" i="1"/>
  <c r="A435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436" i="1"/>
  <c r="A967" i="1"/>
  <c r="A968" i="1"/>
  <c r="A969" i="1"/>
  <c r="A970" i="1"/>
  <c r="A437" i="1"/>
  <c r="A438" i="1"/>
  <c r="A439" i="1"/>
  <c r="A440" i="1"/>
  <c r="A971" i="1"/>
  <c r="A292" i="1"/>
  <c r="A972" i="1"/>
  <c r="A973" i="1"/>
  <c r="A519" i="1"/>
  <c r="A974" i="1"/>
  <c r="A975" i="1"/>
  <c r="A976" i="1"/>
  <c r="A977" i="1"/>
  <c r="A978" i="1"/>
  <c r="A520" i="1"/>
  <c r="A521" i="1"/>
  <c r="A979" i="1"/>
  <c r="A441" i="1"/>
  <c r="A980" i="1"/>
  <c r="A1715" i="1"/>
  <c r="A1716" i="1"/>
  <c r="A1717" i="1"/>
  <c r="A1718" i="1"/>
  <c r="A1719" i="1"/>
  <c r="A1720" i="1"/>
  <c r="A981" i="1"/>
  <c r="A982" i="1"/>
  <c r="A358" i="1"/>
  <c r="A255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721" i="1"/>
  <c r="A1722" i="1"/>
  <c r="A1723" i="1"/>
  <c r="A189" i="1"/>
  <c r="A145" i="1"/>
  <c r="A1724" i="1"/>
  <c r="A1725" i="1"/>
  <c r="A522" i="1"/>
  <c r="A1726" i="1"/>
  <c r="A553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442" i="1"/>
  <c r="A333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523" i="1"/>
  <c r="A524" i="1"/>
  <c r="A1757" i="1"/>
  <c r="A1758" i="1"/>
  <c r="A1759" i="1"/>
  <c r="A1760" i="1"/>
  <c r="A1761" i="1"/>
  <c r="A1762" i="1"/>
  <c r="A1763" i="1"/>
  <c r="A525" i="1"/>
  <c r="A1764" i="1"/>
  <c r="A1765" i="1"/>
  <c r="A1766" i="1"/>
  <c r="A1767" i="1"/>
  <c r="A1768" i="1"/>
  <c r="A1769" i="1"/>
  <c r="A1770" i="1"/>
  <c r="A1771" i="1"/>
  <c r="A1772" i="1"/>
  <c r="A526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390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2537" i="1"/>
  <c r="A2538" i="1"/>
  <c r="A2539" i="1"/>
  <c r="A2540" i="1"/>
  <c r="A2541" i="1"/>
  <c r="A554" i="1"/>
  <c r="A2542" i="1"/>
  <c r="A555" i="1"/>
  <c r="A2543" i="1"/>
  <c r="A2544" i="1"/>
  <c r="A2545" i="1"/>
  <c r="A2546" i="1"/>
  <c r="A2547" i="1"/>
  <c r="A2548" i="1"/>
  <c r="A2549" i="1"/>
  <c r="A2550" i="1"/>
  <c r="A2551" i="1"/>
  <c r="A2552" i="1"/>
  <c r="A2553" i="1"/>
  <c r="A1798" i="1"/>
  <c r="A331" i="1"/>
  <c r="A308" i="1"/>
  <c r="A527" i="1"/>
  <c r="A1799" i="1"/>
  <c r="A252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443" i="1"/>
  <c r="A1003" i="1"/>
  <c r="A1004" i="1"/>
  <c r="A1005" i="1"/>
  <c r="A345" i="1"/>
  <c r="A1006" i="1"/>
  <c r="A1007" i="1"/>
  <c r="A1008" i="1"/>
  <c r="A1009" i="1"/>
  <c r="A444" i="1"/>
  <c r="A1010" i="1"/>
  <c r="A1011" i="1"/>
  <c r="A1012" i="1"/>
  <c r="A309" i="1"/>
  <c r="A445" i="1"/>
  <c r="A1013" i="1"/>
  <c r="A1014" i="1"/>
  <c r="A1015" i="1"/>
  <c r="A1016" i="1"/>
  <c r="A1017" i="1"/>
  <c r="A446" i="1"/>
  <c r="A447" i="1"/>
  <c r="A1018" i="1"/>
  <c r="A1019" i="1"/>
  <c r="A1020" i="1"/>
  <c r="A448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310" i="1"/>
  <c r="A1815" i="1"/>
  <c r="A1816" i="1"/>
  <c r="A1817" i="1"/>
  <c r="A528" i="1"/>
  <c r="A1818" i="1"/>
  <c r="A1819" i="1"/>
  <c r="A1820" i="1"/>
  <c r="A1821" i="1"/>
  <c r="A449" i="1"/>
  <c r="A1822" i="1"/>
  <c r="A1823" i="1"/>
  <c r="A1824" i="1"/>
  <c r="A1825" i="1"/>
  <c r="A1826" i="1"/>
  <c r="A1827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450" i="1"/>
  <c r="A1060" i="1"/>
  <c r="A1061" i="1"/>
  <c r="A1062" i="1"/>
  <c r="A451" i="1"/>
  <c r="A1063" i="1"/>
  <c r="A1064" i="1"/>
  <c r="A1065" i="1"/>
  <c r="A1066" i="1"/>
  <c r="A1067" i="1"/>
  <c r="A452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828" i="1"/>
  <c r="A1829" i="1"/>
  <c r="A1830" i="1"/>
  <c r="A1831" i="1"/>
  <c r="A1832" i="1"/>
  <c r="A1833" i="1"/>
  <c r="A1834" i="1"/>
  <c r="A1835" i="1"/>
  <c r="A1836" i="1"/>
  <c r="A359" i="1"/>
  <c r="A1837" i="1"/>
  <c r="A529" i="1"/>
  <c r="A1838" i="1"/>
  <c r="A1839" i="1"/>
  <c r="A530" i="1"/>
  <c r="A1840" i="1"/>
  <c r="A1841" i="1"/>
  <c r="A1842" i="1"/>
  <c r="A1843" i="1"/>
  <c r="A1844" i="1"/>
  <c r="A1845" i="1"/>
  <c r="A1846" i="1"/>
  <c r="A360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453" i="1"/>
  <c r="A1865" i="1"/>
  <c r="A454" i="1"/>
  <c r="A1866" i="1"/>
  <c r="A1867" i="1"/>
  <c r="A1868" i="1"/>
  <c r="A1081" i="1"/>
  <c r="A1082" i="1"/>
  <c r="A1083" i="1"/>
  <c r="A1084" i="1"/>
  <c r="A1085" i="1"/>
  <c r="A1086" i="1"/>
  <c r="A1087" i="1"/>
  <c r="A1088" i="1"/>
  <c r="A1089" i="1"/>
  <c r="A1090" i="1"/>
  <c r="A455" i="1"/>
  <c r="A456" i="1"/>
  <c r="A1091" i="1"/>
  <c r="A1092" i="1"/>
  <c r="A1093" i="1"/>
  <c r="A1094" i="1"/>
  <c r="A1095" i="1"/>
  <c r="A457" i="1"/>
  <c r="A1096" i="1"/>
  <c r="A1097" i="1"/>
  <c r="A1098" i="1"/>
  <c r="A1099" i="1"/>
  <c r="A1100" i="1"/>
  <c r="A1101" i="1"/>
  <c r="A1869" i="1"/>
  <c r="A1870" i="1"/>
  <c r="A1871" i="1"/>
  <c r="A458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531" i="1"/>
  <c r="A311" i="1"/>
  <c r="A1889" i="1"/>
  <c r="A1890" i="1"/>
  <c r="A1891" i="1"/>
  <c r="A1892" i="1"/>
  <c r="A1893" i="1"/>
  <c r="A1894" i="1"/>
  <c r="A194" i="1"/>
  <c r="A1895" i="1"/>
  <c r="A1896" i="1"/>
  <c r="A1897" i="1"/>
  <c r="A1898" i="1"/>
  <c r="A1899" i="1"/>
  <c r="A1900" i="1"/>
  <c r="A1901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532" i="1"/>
  <c r="A533" i="1"/>
  <c r="A1902" i="1"/>
  <c r="A534" i="1"/>
  <c r="A1903" i="1"/>
  <c r="A1904" i="1"/>
  <c r="A1905" i="1"/>
  <c r="A1906" i="1"/>
  <c r="A1907" i="1"/>
  <c r="A535" i="1"/>
  <c r="A1908" i="1"/>
  <c r="A1909" i="1"/>
  <c r="A536" i="1"/>
  <c r="A537" i="1"/>
  <c r="A1910" i="1"/>
  <c r="A1911" i="1"/>
  <c r="A1912" i="1"/>
  <c r="A1913" i="1"/>
  <c r="A1914" i="1"/>
  <c r="A1915" i="1"/>
  <c r="A1916" i="1"/>
  <c r="A538" i="1"/>
  <c r="A1917" i="1"/>
  <c r="A1918" i="1"/>
  <c r="A539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45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1102" i="1"/>
  <c r="A1103" i="1"/>
  <c r="A1104" i="1"/>
  <c r="A1105" i="1"/>
  <c r="A1106" i="1"/>
  <c r="A1107" i="1"/>
  <c r="A1108" i="1"/>
  <c r="A1109" i="1"/>
  <c r="A1110" i="1"/>
  <c r="A1111" i="1"/>
  <c r="A460" i="1"/>
  <c r="A1112" i="1"/>
  <c r="A1113" i="1"/>
  <c r="A1114" i="1"/>
  <c r="A1115" i="1"/>
  <c r="A1116" i="1"/>
  <c r="A1117" i="1"/>
  <c r="A1118" i="1"/>
  <c r="A1119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1120" i="1"/>
  <c r="A1121" i="1"/>
  <c r="A1122" i="1"/>
  <c r="A1123" i="1"/>
  <c r="A1124" i="1"/>
  <c r="A1125" i="1"/>
  <c r="A1126" i="1"/>
  <c r="A1127" i="1"/>
  <c r="A1128" i="1"/>
  <c r="A2605" i="1"/>
  <c r="A2606" i="1"/>
  <c r="A2607" i="1"/>
  <c r="A2608" i="1"/>
  <c r="A2609" i="1"/>
  <c r="A2610" i="1"/>
  <c r="A556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5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391" i="1"/>
  <c r="A1142" i="1"/>
  <c r="A461" i="1"/>
  <c r="A462" i="1"/>
  <c r="A1143" i="1"/>
  <c r="A1144" i="1"/>
  <c r="A1145" i="1"/>
  <c r="A1146" i="1"/>
  <c r="A1147" i="1"/>
  <c r="A1148" i="1"/>
  <c r="A1149" i="1"/>
  <c r="A1150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1151" i="1"/>
  <c r="A1152" i="1"/>
  <c r="A1153" i="1"/>
  <c r="A1154" i="1"/>
  <c r="A1155" i="1"/>
  <c r="A1156" i="1"/>
  <c r="A1157" i="1"/>
  <c r="A1158" i="1"/>
  <c r="A1159" i="1"/>
  <c r="A1160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540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541" i="1"/>
  <c r="A2156" i="1"/>
  <c r="A2157" i="1"/>
  <c r="A542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463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361" i="1"/>
  <c r="A2249" i="1"/>
  <c r="A2250" i="1"/>
  <c r="A2251" i="1"/>
  <c r="A2252" i="1"/>
  <c r="A2253" i="1"/>
  <c r="A2254" i="1"/>
  <c r="A2255" i="1"/>
  <c r="A543" i="1"/>
  <c r="A2256" i="1"/>
  <c r="A2257" i="1"/>
  <c r="A2258" i="1"/>
  <c r="A2259" i="1"/>
  <c r="A2260" i="1"/>
  <c r="A2261" i="1"/>
  <c r="A544" i="1"/>
  <c r="A2262" i="1"/>
  <c r="A1161" i="1"/>
  <c r="A1162" i="1"/>
  <c r="A1163" i="1"/>
  <c r="A464" i="1"/>
  <c r="A1164" i="1"/>
  <c r="A1165" i="1"/>
  <c r="A1166" i="1"/>
  <c r="A1167" i="1"/>
  <c r="A1168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392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545" i="1"/>
  <c r="A2389" i="1"/>
  <c r="A2390" i="1"/>
  <c r="A2391" i="1"/>
  <c r="A2392" i="1"/>
  <c r="A2393" i="1"/>
  <c r="A2394" i="1"/>
  <c r="A2395" i="1"/>
  <c r="A465" i="1"/>
  <c r="A362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3" i="1"/>
  <c r="A1255" i="1"/>
  <c r="A1256" i="1"/>
  <c r="A1257" i="1"/>
  <c r="A125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546" i="1"/>
  <c r="A2434" i="1"/>
  <c r="A2435" i="1"/>
  <c r="A2436" i="1"/>
  <c r="A466" i="1"/>
  <c r="A2437" i="1"/>
  <c r="A2438" i="1"/>
  <c r="A2439" i="1"/>
  <c r="A2440" i="1"/>
  <c r="A2441" i="1"/>
  <c r="A2442" i="1"/>
  <c r="A2443" i="1"/>
  <c r="A2444" i="1"/>
  <c r="A2445" i="1"/>
  <c r="A2446" i="1"/>
  <c r="A2447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H3" i="1" a="1"/>
  <c r="H3" i="1" s="1"/>
  <c r="AI6" i="1"/>
  <c r="AF6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C6" i="1"/>
  <c r="Z6" i="1"/>
  <c r="W6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T6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Q6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N6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K6" i="1"/>
  <c r="H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AI7" i="1" l="1" a="1"/>
  <c r="AI7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AH117" i="1" s="1"/>
  <c r="AH118" i="1" s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H150" i="1" s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H163" i="1" s="1"/>
  <c r="AH164" i="1" s="1"/>
  <c r="AH165" i="1" s="1"/>
  <c r="AH166" i="1" s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AH204" i="1" s="1"/>
  <c r="AH205" i="1" s="1"/>
  <c r="AH206" i="1" s="1"/>
  <c r="AH207" i="1" s="1"/>
  <c r="AH208" i="1" s="1"/>
  <c r="AH209" i="1" s="1"/>
  <c r="AH210" i="1" s="1"/>
  <c r="AH211" i="1" s="1"/>
  <c r="AH212" i="1" s="1"/>
  <c r="AH213" i="1" s="1"/>
  <c r="AH214" i="1" s="1"/>
  <c r="AH215" i="1" s="1"/>
  <c r="AH216" i="1" s="1"/>
  <c r="AH217" i="1" s="1"/>
  <c r="AH218" i="1" s="1"/>
  <c r="AH219" i="1" s="1"/>
  <c r="AH220" i="1" s="1"/>
  <c r="AH221" i="1" s="1"/>
  <c r="AH222" i="1" s="1"/>
  <c r="AH223" i="1" s="1"/>
  <c r="AH224" i="1" s="1"/>
  <c r="AH225" i="1" s="1"/>
  <c r="AH226" i="1" s="1"/>
  <c r="AH227" i="1" s="1"/>
  <c r="AH228" i="1" s="1"/>
  <c r="AH229" i="1" s="1"/>
  <c r="AH230" i="1" s="1"/>
  <c r="AH231" i="1" s="1"/>
  <c r="AH232" i="1" s="1"/>
  <c r="AH233" i="1" s="1"/>
  <c r="AH234" i="1" s="1"/>
  <c r="AH235" i="1" s="1"/>
  <c r="AH236" i="1" s="1"/>
  <c r="AH237" i="1" s="1"/>
  <c r="AH238" i="1" s="1"/>
  <c r="AH239" i="1" s="1"/>
  <c r="AH240" i="1" s="1"/>
  <c r="AH241" i="1" s="1"/>
  <c r="AH242" i="1" s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257" i="1" s="1"/>
  <c r="AH258" i="1" s="1"/>
  <c r="AH259" i="1" s="1"/>
  <c r="AH260" i="1" s="1"/>
  <c r="AH261" i="1" s="1"/>
  <c r="AH262" i="1" s="1"/>
  <c r="AH263" i="1" s="1"/>
  <c r="AH264" i="1" s="1"/>
  <c r="AH265" i="1" s="1"/>
  <c r="AH266" i="1" s="1"/>
  <c r="AH267" i="1" s="1"/>
  <c r="AH268" i="1" s="1"/>
  <c r="AH269" i="1" s="1"/>
  <c r="AH270" i="1" s="1"/>
  <c r="AH271" i="1" s="1"/>
  <c r="AH272" i="1" s="1"/>
  <c r="AH273" i="1" s="1"/>
  <c r="AH274" i="1" s="1"/>
  <c r="AH275" i="1" s="1"/>
  <c r="AH276" i="1" s="1"/>
  <c r="AH277" i="1" s="1"/>
  <c r="AH278" i="1" s="1"/>
  <c r="AH279" i="1" s="1"/>
  <c r="AH280" i="1" s="1"/>
  <c r="AH281" i="1" s="1"/>
  <c r="AH282" i="1" s="1"/>
  <c r="AH283" i="1" s="1"/>
  <c r="AH284" i="1" s="1"/>
  <c r="AH285" i="1" s="1"/>
  <c r="AH286" i="1" s="1"/>
  <c r="AH287" i="1" s="1"/>
  <c r="AH288" i="1" s="1"/>
  <c r="AH289" i="1" s="1"/>
  <c r="AH290" i="1" s="1"/>
  <c r="AH291" i="1" s="1"/>
  <c r="AH292" i="1" s="1"/>
  <c r="AH293" i="1" s="1"/>
  <c r="AH294" i="1" s="1"/>
  <c r="AH295" i="1" s="1"/>
  <c r="AH296" i="1" s="1"/>
  <c r="AH297" i="1" s="1"/>
  <c r="AH298" i="1" s="1"/>
  <c r="AH299" i="1" s="1"/>
  <c r="AH300" i="1" s="1"/>
  <c r="AH301" i="1" s="1"/>
  <c r="AH302" i="1" s="1"/>
  <c r="AH303" i="1" s="1"/>
  <c r="AH304" i="1" s="1"/>
  <c r="AH305" i="1" s="1"/>
  <c r="AH306" i="1" s="1"/>
  <c r="AH307" i="1" s="1"/>
  <c r="AH308" i="1" s="1"/>
  <c r="AH309" i="1" s="1"/>
  <c r="AH310" i="1" s="1"/>
  <c r="AH311" i="1" s="1"/>
  <c r="AH312" i="1" s="1"/>
  <c r="AH313" i="1" s="1"/>
  <c r="AH314" i="1" s="1"/>
  <c r="AH315" i="1" s="1"/>
  <c r="AH316" i="1" s="1"/>
  <c r="AH317" i="1" s="1"/>
  <c r="AH318" i="1" s="1"/>
  <c r="AH319" i="1" s="1"/>
  <c r="AH320" i="1" s="1"/>
  <c r="AH321" i="1" s="1"/>
  <c r="AH322" i="1" s="1"/>
  <c r="AH323" i="1" s="1"/>
  <c r="AH324" i="1" s="1"/>
  <c r="AH325" i="1" s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H337" i="1" s="1"/>
  <c r="AH338" i="1" s="1"/>
  <c r="AH339" i="1" s="1"/>
  <c r="AH340" i="1" s="1"/>
  <c r="AH341" i="1" s="1"/>
  <c r="AH342" i="1" s="1"/>
  <c r="AH343" i="1" s="1"/>
  <c r="AH344" i="1" s="1"/>
  <c r="AH345" i="1" s="1"/>
  <c r="AH346" i="1" s="1"/>
  <c r="AH347" i="1" s="1"/>
  <c r="AH348" i="1" s="1"/>
  <c r="AH349" i="1" s="1"/>
  <c r="AH350" i="1" s="1"/>
  <c r="AH351" i="1" s="1"/>
  <c r="AH352" i="1" s="1"/>
  <c r="AH353" i="1" s="1"/>
  <c r="AH354" i="1" s="1"/>
  <c r="AH355" i="1" s="1"/>
  <c r="AH356" i="1" s="1"/>
  <c r="AH357" i="1" s="1"/>
  <c r="AH358" i="1" s="1"/>
  <c r="AH359" i="1" s="1"/>
  <c r="AH360" i="1" s="1"/>
  <c r="AH361" i="1" s="1"/>
  <c r="AH362" i="1" s="1"/>
  <c r="AH363" i="1" s="1"/>
  <c r="AH364" i="1" s="1"/>
  <c r="AH365" i="1" s="1"/>
  <c r="AH366" i="1" s="1"/>
  <c r="AH367" i="1" s="1"/>
  <c r="AH368" i="1" s="1"/>
  <c r="AH369" i="1" s="1"/>
  <c r="AH370" i="1" s="1"/>
  <c r="AH371" i="1" s="1"/>
  <c r="AH372" i="1" s="1"/>
  <c r="AH373" i="1" s="1"/>
  <c r="AH374" i="1" s="1"/>
  <c r="AH375" i="1" s="1"/>
  <c r="AH376" i="1" s="1"/>
  <c r="AH377" i="1" s="1"/>
  <c r="AH378" i="1" s="1"/>
  <c r="AH379" i="1" s="1"/>
  <c r="AH380" i="1" s="1"/>
  <c r="AH381" i="1" s="1"/>
  <c r="AH382" i="1" s="1"/>
  <c r="AH383" i="1" s="1"/>
  <c r="AH384" i="1" s="1"/>
  <c r="AH385" i="1" s="1"/>
  <c r="AH386" i="1" s="1"/>
  <c r="AH387" i="1" s="1"/>
  <c r="AH388" i="1" s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401" i="1" s="1"/>
  <c r="AH402" i="1" s="1"/>
  <c r="AH403" i="1" s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417" i="1" s="1"/>
  <c r="AH418" i="1" s="1"/>
  <c r="AH419" i="1" s="1"/>
  <c r="AH420" i="1" s="1"/>
  <c r="AH421" i="1" s="1"/>
  <c r="AH422" i="1" s="1"/>
  <c r="AH423" i="1" s="1"/>
  <c r="AH424" i="1" s="1"/>
  <c r="AH425" i="1" s="1"/>
  <c r="AH426" i="1" s="1"/>
  <c r="AH427" i="1" s="1"/>
  <c r="AH428" i="1" s="1"/>
  <c r="AH429" i="1" s="1"/>
  <c r="AH430" i="1" s="1"/>
  <c r="AH431" i="1" s="1"/>
  <c r="AH432" i="1" s="1"/>
  <c r="AH433" i="1" s="1"/>
  <c r="AH434" i="1" s="1"/>
  <c r="AH435" i="1" s="1"/>
  <c r="AH436" i="1" s="1"/>
  <c r="AH437" i="1" s="1"/>
  <c r="AH438" i="1" s="1"/>
  <c r="AH439" i="1" s="1"/>
  <c r="AH440" i="1" s="1"/>
  <c r="AH441" i="1" s="1"/>
  <c r="AH442" i="1" s="1"/>
  <c r="AH443" i="1" s="1"/>
  <c r="AH444" i="1" s="1"/>
  <c r="AH445" i="1" s="1"/>
  <c r="AH446" i="1" s="1"/>
  <c r="AH447" i="1" s="1"/>
  <c r="AH448" i="1" s="1"/>
  <c r="AH449" i="1" s="1"/>
  <c r="AH450" i="1" s="1"/>
  <c r="AH451" i="1" s="1"/>
  <c r="AH452" i="1" s="1"/>
  <c r="AH453" i="1" s="1"/>
  <c r="AH454" i="1" s="1"/>
  <c r="AH455" i="1" s="1"/>
  <c r="AH456" i="1" s="1"/>
  <c r="AH457" i="1" s="1"/>
  <c r="AH458" i="1" s="1"/>
  <c r="AH459" i="1" s="1"/>
  <c r="AH460" i="1" s="1"/>
  <c r="AH461" i="1" s="1"/>
  <c r="AH462" i="1" s="1"/>
  <c r="AH463" i="1" s="1"/>
  <c r="AH464" i="1" s="1"/>
  <c r="AH465" i="1" s="1"/>
  <c r="AH466" i="1" s="1"/>
  <c r="AH467" i="1" s="1"/>
  <c r="AH468" i="1" s="1"/>
  <c r="AH469" i="1" s="1"/>
  <c r="AH470" i="1" s="1"/>
  <c r="AH471" i="1" s="1"/>
  <c r="AH472" i="1" s="1"/>
  <c r="AH473" i="1" s="1"/>
  <c r="AH474" i="1" s="1"/>
  <c r="AH475" i="1" s="1"/>
  <c r="AH476" i="1" s="1"/>
  <c r="AH477" i="1" s="1"/>
  <c r="AH478" i="1" s="1"/>
  <c r="AH479" i="1" s="1"/>
  <c r="AH480" i="1" s="1"/>
  <c r="AH481" i="1" s="1"/>
  <c r="AH482" i="1" s="1"/>
  <c r="AH483" i="1" s="1"/>
  <c r="AH484" i="1" s="1"/>
  <c r="AH485" i="1" s="1"/>
  <c r="AH486" i="1" s="1"/>
  <c r="AH487" i="1" s="1"/>
  <c r="AH488" i="1" s="1"/>
  <c r="AH489" i="1" s="1"/>
  <c r="AH490" i="1" s="1"/>
  <c r="AH491" i="1" s="1"/>
  <c r="AH492" i="1" s="1"/>
  <c r="AH493" i="1" s="1"/>
  <c r="AH494" i="1" s="1"/>
  <c r="AH495" i="1" s="1"/>
  <c r="AH496" i="1" s="1"/>
  <c r="AH497" i="1" s="1"/>
  <c r="AH498" i="1" s="1"/>
  <c r="AH499" i="1" s="1"/>
  <c r="AH500" i="1" s="1"/>
  <c r="AH501" i="1" s="1"/>
  <c r="AH502" i="1" s="1"/>
  <c r="H7" i="1" a="1"/>
  <c r="H7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T7" i="1" a="1"/>
  <c r="T7" i="1" s="1"/>
  <c r="S7" i="1" s="1"/>
  <c r="S8" i="1" s="1"/>
  <c r="S9" i="1" s="1"/>
  <c r="S10" i="1" s="1"/>
  <c r="S11" i="1" s="1"/>
  <c r="S12" i="1" s="1"/>
  <c r="N7" i="1" a="1"/>
  <c r="N7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K7" i="1" a="1"/>
  <c r="K7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Q7" i="1" a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W7" i="1" a="1"/>
  <c r="W7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Z7" i="1" a="1"/>
  <c r="Z7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Y212" i="1" s="1"/>
  <c r="Y213" i="1" s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Y277" i="1" s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Y324" i="1" s="1"/>
  <c r="Y325" i="1" s="1"/>
  <c r="Y326" i="1" s="1"/>
  <c r="Y327" i="1" s="1"/>
  <c r="Y328" i="1" s="1"/>
  <c r="Y329" i="1" s="1"/>
  <c r="Y330" i="1" s="1"/>
  <c r="Y331" i="1" s="1"/>
  <c r="Y332" i="1" s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Y425" i="1" s="1"/>
  <c r="Y426" i="1" s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Y442" i="1" s="1"/>
  <c r="Y443" i="1" s="1"/>
  <c r="Y444" i="1" s="1"/>
  <c r="Y445" i="1" s="1"/>
  <c r="Y446" i="1" s="1"/>
  <c r="Y447" i="1" s="1"/>
  <c r="Y448" i="1" s="1"/>
  <c r="Y449" i="1" s="1"/>
  <c r="Y450" i="1" s="1"/>
  <c r="Y451" i="1" s="1"/>
  <c r="Y452" i="1" s="1"/>
  <c r="Y453" i="1" s="1"/>
  <c r="Y454" i="1" s="1"/>
  <c r="Y455" i="1" s="1"/>
  <c r="Y456" i="1" s="1"/>
  <c r="Y457" i="1" s="1"/>
  <c r="Y458" i="1" s="1"/>
  <c r="Y459" i="1" s="1"/>
  <c r="Y460" i="1" s="1"/>
  <c r="Y461" i="1" s="1"/>
  <c r="Y462" i="1" s="1"/>
  <c r="Y463" i="1" s="1"/>
  <c r="Y464" i="1" s="1"/>
  <c r="Y465" i="1" s="1"/>
  <c r="Y466" i="1" s="1"/>
  <c r="Y467" i="1" s="1"/>
  <c r="Y468" i="1" s="1"/>
  <c r="Y469" i="1" s="1"/>
  <c r="Y470" i="1" s="1"/>
  <c r="Y471" i="1" s="1"/>
  <c r="Y472" i="1" s="1"/>
  <c r="Y473" i="1" s="1"/>
  <c r="Y474" i="1" s="1"/>
  <c r="Y475" i="1" s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Y493" i="1" s="1"/>
  <c r="Y494" i="1" s="1"/>
  <c r="Y495" i="1" s="1"/>
  <c r="Y496" i="1" s="1"/>
  <c r="Y497" i="1" s="1"/>
  <c r="Y498" i="1" s="1"/>
  <c r="Y499" i="1" s="1"/>
  <c r="Y500" i="1" s="1"/>
  <c r="Y501" i="1" s="1"/>
  <c r="Y502" i="1" s="1"/>
  <c r="AC7" i="1" a="1"/>
  <c r="AC7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F7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AE402" i="1" s="1"/>
  <c r="AE403" i="1" s="1"/>
  <c r="AE404" i="1" s="1"/>
  <c r="AE405" i="1" s="1"/>
  <c r="AE406" i="1" s="1"/>
  <c r="AE407" i="1" s="1"/>
  <c r="AE408" i="1" s="1"/>
  <c r="AE409" i="1" s="1"/>
  <c r="AE410" i="1" s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V29" i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V229" i="1" s="1"/>
  <c r="V230" i="1" s="1"/>
  <c r="V231" i="1" s="1"/>
  <c r="V232" i="1" s="1"/>
  <c r="V233" i="1" s="1"/>
  <c r="V234" i="1" s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V301" i="1" s="1"/>
  <c r="V302" i="1" s="1"/>
  <c r="V303" i="1" s="1"/>
  <c r="V304" i="1" s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V445" i="1" s="1"/>
  <c r="V446" i="1" s="1"/>
  <c r="V447" i="1" s="1"/>
  <c r="V448" i="1" s="1"/>
  <c r="V449" i="1" s="1"/>
  <c r="V450" i="1" s="1"/>
  <c r="V451" i="1" s="1"/>
  <c r="V452" i="1" s="1"/>
  <c r="V453" i="1" s="1"/>
  <c r="V454" i="1" s="1"/>
  <c r="V455" i="1" s="1"/>
  <c r="V456" i="1" s="1"/>
  <c r="V457" i="1" s="1"/>
  <c r="V458" i="1" s="1"/>
  <c r="V459" i="1" s="1"/>
  <c r="V460" i="1" s="1"/>
  <c r="V461" i="1" s="1"/>
  <c r="V462" i="1" s="1"/>
  <c r="V463" i="1" s="1"/>
  <c r="V464" i="1" s="1"/>
  <c r="V465" i="1" s="1"/>
  <c r="V466" i="1" s="1"/>
  <c r="V467" i="1" s="1"/>
  <c r="V468" i="1" s="1"/>
  <c r="V469" i="1" s="1"/>
  <c r="V470" i="1" s="1"/>
  <c r="V471" i="1" s="1"/>
  <c r="V472" i="1" s="1"/>
  <c r="V473" i="1" s="1"/>
  <c r="V474" i="1" s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V493" i="1" s="1"/>
  <c r="V494" i="1" s="1"/>
  <c r="V495" i="1" s="1"/>
  <c r="V496" i="1" s="1"/>
  <c r="V497" i="1" s="1"/>
  <c r="V498" i="1" s="1"/>
  <c r="V499" i="1" s="1"/>
  <c r="V500" i="1" s="1"/>
  <c r="V501" i="1" s="1"/>
  <c r="V502" i="1" s="1"/>
  <c r="Q7" i="1" l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<sst xmlns="http://schemas.openxmlformats.org/spreadsheetml/2006/main" count="1025" uniqueCount="1016">
  <si>
    <t>Score</t>
  </si>
  <si>
    <t>Count</t>
  </si>
  <si>
    <t>Format: TV</t>
  </si>
  <si>
    <t>Format: TV_SHORT</t>
  </si>
  <si>
    <t>Format: MOVIE</t>
  </si>
  <si>
    <t>Format: ONA</t>
  </si>
  <si>
    <t>Episode: 7-13</t>
  </si>
  <si>
    <t>Episode: 14-26</t>
  </si>
  <si>
    <t>Episode: 53-100</t>
  </si>
  <si>
    <t>Episode: 101+</t>
  </si>
  <si>
    <t>Episode: 1</t>
  </si>
  <si>
    <t>Year: 2021</t>
  </si>
  <si>
    <t>Year: 2022</t>
  </si>
  <si>
    <t>Year: 2017</t>
  </si>
  <si>
    <t>Year: 2018</t>
  </si>
  <si>
    <t>Year: 2002</t>
  </si>
  <si>
    <t>Year: 2007</t>
  </si>
  <si>
    <t>Year: 2014</t>
  </si>
  <si>
    <t>Year: 2008</t>
  </si>
  <si>
    <t>Year: 2015</t>
  </si>
  <si>
    <t>Year: 2012</t>
  </si>
  <si>
    <t>Year: 2020</t>
  </si>
  <si>
    <t>Year: 2016</t>
  </si>
  <si>
    <t>Year: 2019</t>
  </si>
  <si>
    <t>Year: 2009</t>
  </si>
  <si>
    <t>Year: 2006</t>
  </si>
  <si>
    <t>Year: 2011</t>
  </si>
  <si>
    <t>Year: 2013</t>
  </si>
  <si>
    <t>Year: 2010</t>
  </si>
  <si>
    <t>Year: null</t>
  </si>
  <si>
    <t>Season: FALL</t>
  </si>
  <si>
    <t>Season: SPRING</t>
  </si>
  <si>
    <t>Season: SUMMER</t>
  </si>
  <si>
    <t>Season: WINTER</t>
  </si>
  <si>
    <t>Season: null</t>
  </si>
  <si>
    <t>Genre: Sci-Fi</t>
  </si>
  <si>
    <t>Genre: Comedy</t>
  </si>
  <si>
    <t>Genre: Romance</t>
  </si>
  <si>
    <t>Genre: Slice of Life</t>
  </si>
  <si>
    <t>Genre: Action</t>
  </si>
  <si>
    <t>Genre: Mystery</t>
  </si>
  <si>
    <t>Genre: Supernatural</t>
  </si>
  <si>
    <t>Genre: Ecchi</t>
  </si>
  <si>
    <t>Genre: Drama</t>
  </si>
  <si>
    <t>Genre: Thriller</t>
  </si>
  <si>
    <t>Genre: Adventure</t>
  </si>
  <si>
    <t>Genre: Fantasy</t>
  </si>
  <si>
    <t>Genre: Sports</t>
  </si>
  <si>
    <t>Genre: Psychological</t>
  </si>
  <si>
    <t>Genre: Music</t>
  </si>
  <si>
    <t>Genre: Horror</t>
  </si>
  <si>
    <t>Studio: BANDAI SPIRITS</t>
  </si>
  <si>
    <t>Tag: Kuudere</t>
  </si>
  <si>
    <t>Tag: Surreal Comedy</t>
  </si>
  <si>
    <t>Tag: School</t>
  </si>
  <si>
    <t>Tag: Slapstick</t>
  </si>
  <si>
    <t>Tag: Episodic</t>
  </si>
  <si>
    <t>Tag: Primarily Teen Cast</t>
  </si>
  <si>
    <t>Tag: Male Protagonist</t>
  </si>
  <si>
    <t>Tag: Female Protagonist</t>
  </si>
  <si>
    <t>Tag: Heterosexual</t>
  </si>
  <si>
    <t>Tag: Parody</t>
  </si>
  <si>
    <t>Tag: Meta</t>
  </si>
  <si>
    <t>Tag: Cute Girls Doing Cute Things</t>
  </si>
  <si>
    <t>Tag: Outdoor</t>
  </si>
  <si>
    <t>Tag: Shounen</t>
  </si>
  <si>
    <t>Tag: Family Life</t>
  </si>
  <si>
    <t>Tag: Teacher</t>
  </si>
  <si>
    <t>Tag: Animals</t>
  </si>
  <si>
    <t>Tag: Tsundere</t>
  </si>
  <si>
    <t>Tag: Crossdressing</t>
  </si>
  <si>
    <t>Tag: Basketball</t>
  </si>
  <si>
    <t>Tag: Iyashikei</t>
  </si>
  <si>
    <t>Tag: Baseball</t>
  </si>
  <si>
    <t>Tag: Table Tennis</t>
  </si>
  <si>
    <t>Tag: Shogi</t>
  </si>
  <si>
    <t>Tag: Fishing</t>
  </si>
  <si>
    <t>Tag: CGI</t>
  </si>
  <si>
    <t>Tag: Male Harem</t>
  </si>
  <si>
    <t>Tag: Female Harem</t>
  </si>
  <si>
    <t>Tag: Delinquents</t>
  </si>
  <si>
    <t>Tag: Gyaru</t>
  </si>
  <si>
    <t>Tag: Primarily Female Cast</t>
  </si>
  <si>
    <t>Tag: School Club</t>
  </si>
  <si>
    <t>Tag: Seinen</t>
  </si>
  <si>
    <t>Tag: LGBTQ+ Themes</t>
  </si>
  <si>
    <t>Tag: Ojou-sama</t>
  </si>
  <si>
    <t>Tag: Primarily Child Cast</t>
  </si>
  <si>
    <t>Tag: Ensemble Cast</t>
  </si>
  <si>
    <t>Tag: Coming of Age</t>
  </si>
  <si>
    <t>Tag: Tomboy</t>
  </si>
  <si>
    <t>Tag: Mafia</t>
  </si>
  <si>
    <t>Tag: Crime</t>
  </si>
  <si>
    <t>Tag: Achronological Order</t>
  </si>
  <si>
    <t>Tag: Historical</t>
  </si>
  <si>
    <t>Tag: Trains</t>
  </si>
  <si>
    <t>Tag: Foreign</t>
  </si>
  <si>
    <t>Tag: Urban Fantasy</t>
  </si>
  <si>
    <t>Tag: Primarily Adult Cast</t>
  </si>
  <si>
    <t>Tag: Noir</t>
  </si>
  <si>
    <t>Tag: Guns</t>
  </si>
  <si>
    <t>Tag: Gore</t>
  </si>
  <si>
    <t>Tag: Urban</t>
  </si>
  <si>
    <t>Tag: Demons</t>
  </si>
  <si>
    <t>Tag: Travel</t>
  </si>
  <si>
    <t>Tag: Disability</t>
  </si>
  <si>
    <t>Tag: Calligraphy</t>
  </si>
  <si>
    <t>Tag: Rural</t>
  </si>
  <si>
    <t>Tag: Rehabilitation</t>
  </si>
  <si>
    <t>Tag: Philosophy</t>
  </si>
  <si>
    <t>Tag: Work</t>
  </si>
  <si>
    <t>Tag: Cosplay</t>
  </si>
  <si>
    <t>Tag: Otaku Culture</t>
  </si>
  <si>
    <t>Tag: Age Gap</t>
  </si>
  <si>
    <t>Tag: Masochism</t>
  </si>
  <si>
    <t>Tag: Chibi</t>
  </si>
  <si>
    <t>Tag: Maids</t>
  </si>
  <si>
    <t>Tag: Satire</t>
  </si>
  <si>
    <t>Tag: Afterlife</t>
  </si>
  <si>
    <t>Tag: Video Games</t>
  </si>
  <si>
    <t>Tag: Tragedy</t>
  </si>
  <si>
    <t>Tag: Alternate Universe</t>
  </si>
  <si>
    <t>Tag: Time Skip</t>
  </si>
  <si>
    <t>Tag: Gangs</t>
  </si>
  <si>
    <t>Tag: Twins</t>
  </si>
  <si>
    <t>Tag: Primarily Male Cast</t>
  </si>
  <si>
    <t>Tag: Cute Boys Doing Cute Things</t>
  </si>
  <si>
    <t>Tag: Tanned Skin</t>
  </si>
  <si>
    <t>Tag: Death Game</t>
  </si>
  <si>
    <t>Tag: Survival</t>
  </si>
  <si>
    <t>Tag: Super Power</t>
  </si>
  <si>
    <t>Tag: Battle Royale</t>
  </si>
  <si>
    <t>Tag: Yandere</t>
  </si>
  <si>
    <t>Tag: Augmented Reality</t>
  </si>
  <si>
    <t>Tag: Conspiracy</t>
  </si>
  <si>
    <t>Tag: Dissociative Identities</t>
  </si>
  <si>
    <t>Tag: Gambling</t>
  </si>
  <si>
    <t>Tag: Swordplay</t>
  </si>
  <si>
    <t>Tag: Martial Arts</t>
  </si>
  <si>
    <t>Tag: Samurai</t>
  </si>
  <si>
    <t>Tag: Isekai</t>
  </si>
  <si>
    <t>Tag: War</t>
  </si>
  <si>
    <t>Tag: Anachronism</t>
  </si>
  <si>
    <t>Tag: Elf</t>
  </si>
  <si>
    <t>Tag: Anti-Hero</t>
  </si>
  <si>
    <t>Tag: Magic</t>
  </si>
  <si>
    <t>Tag: Language Barrier</t>
  </si>
  <si>
    <t>Tag: Archery</t>
  </si>
  <si>
    <t>Tag: Dragons</t>
  </si>
  <si>
    <t>Tag: Aviation</t>
  </si>
  <si>
    <t>Tag: Rape</t>
  </si>
  <si>
    <t>Tag: Fitness</t>
  </si>
  <si>
    <t>Tag: Boxing</t>
  </si>
  <si>
    <t>Tag: Athletics</t>
  </si>
  <si>
    <t>Tag: Educational</t>
  </si>
  <si>
    <t>Tag: Food</t>
  </si>
  <si>
    <t>Tag: Nudity</t>
  </si>
  <si>
    <t>Tag: Dungeon</t>
  </si>
  <si>
    <t>Tag: Gods</t>
  </si>
  <si>
    <t>Tag: Mythology</t>
  </si>
  <si>
    <t>Tag: Nekomimi</t>
  </si>
  <si>
    <t>Tag: Kemonomimi</t>
  </si>
  <si>
    <t>Tag: Love Triangle</t>
  </si>
  <si>
    <t>Tag: Goblin</t>
  </si>
  <si>
    <t>Tag: Cultivation</t>
  </si>
  <si>
    <t>Tag: Villainess</t>
  </si>
  <si>
    <t>Tag: Military</t>
  </si>
  <si>
    <t>Tag: Politics</t>
  </si>
  <si>
    <t>Tag: Necromancy</t>
  </si>
  <si>
    <t>Tag: Religion</t>
  </si>
  <si>
    <t>Tag: Fugitive</t>
  </si>
  <si>
    <t>Tag: Cyborg</t>
  </si>
  <si>
    <t>Tag: Lost Civilization</t>
  </si>
  <si>
    <t>Tag: Revenge</t>
  </si>
  <si>
    <t>Tag: Chimera</t>
  </si>
  <si>
    <t>Tag: Steampunk</t>
  </si>
  <si>
    <t>Tag: Body Horror</t>
  </si>
  <si>
    <t>Tag: Adoption</t>
  </si>
  <si>
    <t>Tag: Cannibalism</t>
  </si>
  <si>
    <t>Tag: Vore</t>
  </si>
  <si>
    <t>Tag: Writing</t>
  </si>
  <si>
    <t>Tag: Angels</t>
  </si>
  <si>
    <t>Tag: Hikikomori</t>
  </si>
  <si>
    <t>Tag: Chuunibyou</t>
  </si>
  <si>
    <t>Tag: Drawing</t>
  </si>
  <si>
    <t>Tag: Gender Bending</t>
  </si>
  <si>
    <t>Tag: Aliens</t>
  </si>
  <si>
    <t>Tag: Terrorism</t>
  </si>
  <si>
    <t>Tag: Space</t>
  </si>
  <si>
    <t>Tag: Mopeds</t>
  </si>
  <si>
    <t>Tag: Ninja</t>
  </si>
  <si>
    <t>Tag: Sadism</t>
  </si>
  <si>
    <t>Tag: Robots</t>
  </si>
  <si>
    <t>Tag: Oiran</t>
  </si>
  <si>
    <t>Tag: Ghost</t>
  </si>
  <si>
    <t>Tag: Pirates</t>
  </si>
  <si>
    <t>Tag: Body Swapping</t>
  </si>
  <si>
    <t>Tag: Circus</t>
  </si>
  <si>
    <t>Tag: Netorare</t>
  </si>
  <si>
    <t>Tag: Acting</t>
  </si>
  <si>
    <t>Tag: College</t>
  </si>
  <si>
    <t>Tag: Scuba Diving</t>
  </si>
  <si>
    <t>Tag: Incest</t>
  </si>
  <si>
    <t>Tag: Bisexual</t>
  </si>
  <si>
    <t>Tag: Youkai</t>
  </si>
  <si>
    <t>Tag: Age Regression</t>
  </si>
  <si>
    <t>Tag: Amnesia</t>
  </si>
  <si>
    <t>Tag: Medicine</t>
  </si>
  <si>
    <t>Tag: Yakuza</t>
  </si>
  <si>
    <t>Tag: Bar</t>
  </si>
  <si>
    <t>Tag: Environmental</t>
  </si>
  <si>
    <t>Tag: Cycling</t>
  </si>
  <si>
    <t>Tag: Virtual World</t>
  </si>
  <si>
    <t>Tag: Assassins</t>
  </si>
  <si>
    <t>Tag: Card Battle</t>
  </si>
  <si>
    <t>Tag: Found Family</t>
  </si>
  <si>
    <t>Tag: Agender</t>
  </si>
  <si>
    <t>Tag: Superhero</t>
  </si>
  <si>
    <t>Tag: Police</t>
  </si>
  <si>
    <t>Tag: Irrumatio</t>
  </si>
  <si>
    <t>Tag: Henshin</t>
  </si>
  <si>
    <t>Tag: Monster Girl</t>
  </si>
  <si>
    <t>Tag: Swimming</t>
  </si>
  <si>
    <t>Tag: Band</t>
  </si>
  <si>
    <t>Tag: Reincarnation</t>
  </si>
  <si>
    <t>Tag: Mahjong</t>
  </si>
  <si>
    <t>Tag: Time Manipulation</t>
  </si>
  <si>
    <t>Tag: Memory Manipulation</t>
  </si>
  <si>
    <t>Tag: Shrine Maiden</t>
  </si>
  <si>
    <t>Tag: Shapeshifting</t>
  </si>
  <si>
    <t>Tag: Cosmic Horror</t>
  </si>
  <si>
    <t>Tag: Bullying</t>
  </si>
  <si>
    <t>Tag: Economics</t>
  </si>
  <si>
    <t>Tag: Succubus</t>
  </si>
  <si>
    <t>Tag: Dullahan</t>
  </si>
  <si>
    <t>Tag: Fairy Tale</t>
  </si>
  <si>
    <t>Tag: Monster Boy</t>
  </si>
  <si>
    <t>Tag: Denpa</t>
  </si>
  <si>
    <t>Tag: Cars</t>
  </si>
  <si>
    <t>Tag: Idol</t>
  </si>
  <si>
    <t>Tag: Suicide</t>
  </si>
  <si>
    <t>Tag: Kaiju</t>
  </si>
  <si>
    <t>Tag: Asexual</t>
  </si>
  <si>
    <t>Tag: Office Lady</t>
  </si>
  <si>
    <t>Tag: Skeleton</t>
  </si>
  <si>
    <t>Tag: Butler</t>
  </si>
  <si>
    <t>Tag: Vampire</t>
  </si>
  <si>
    <t>Tag: Astronomy</t>
  </si>
  <si>
    <t>Tag: Post-Apocalyptic</t>
  </si>
  <si>
    <t>Tag: Artificial Intelligence</t>
  </si>
  <si>
    <t>Tag: Witch</t>
  </si>
  <si>
    <t>Tag: Cult</t>
  </si>
  <si>
    <t>Tag: Airsoft</t>
  </si>
  <si>
    <t>Tag: Shoujo</t>
  </si>
  <si>
    <t>Tag: Cyberpunk</t>
  </si>
  <si>
    <t>Tag: Tanks</t>
  </si>
  <si>
    <t>Tag: Espionage</t>
  </si>
  <si>
    <t>Tag: Torture</t>
  </si>
  <si>
    <t>Tag: Detective</t>
  </si>
  <si>
    <t>Tag: Large Breasts</t>
  </si>
  <si>
    <t>Tag: Josei</t>
  </si>
  <si>
    <t>Tag Category: Technical</t>
  </si>
  <si>
    <t>Tag Category: Cast-Traits</t>
  </si>
  <si>
    <t>Tag Category: Theme-Comedy</t>
  </si>
  <si>
    <t>Tag Category: Setting-Scene</t>
  </si>
  <si>
    <t>Tag Category: Cast-Main Cast</t>
  </si>
  <si>
    <t>Tag Category: Theme-Romance</t>
  </si>
  <si>
    <t>Tag Category: Theme-Other</t>
  </si>
  <si>
    <t>Tag Category: Theme-Slice of Life</t>
  </si>
  <si>
    <t>Tag Category: Demographic</t>
  </si>
  <si>
    <t>Tag Category: Theme-Game-Sport</t>
  </si>
  <si>
    <t>Tag Category: Theme-Game-Card &amp; Board Game</t>
  </si>
  <si>
    <t>Tag Category: Theme-Drama</t>
  </si>
  <si>
    <t>Tag Category: Theme-Other-Organisations</t>
  </si>
  <si>
    <t>Tag Category: Setting-Time</t>
  </si>
  <si>
    <t>Tag Category: Theme-Other-Vehicle</t>
  </si>
  <si>
    <t>Tag Category: Setting-Universe</t>
  </si>
  <si>
    <t>Tag Category: Theme-Action</t>
  </si>
  <si>
    <t>Tag Category: Theme</t>
  </si>
  <si>
    <t>Tag Category: Theme-Arts</t>
  </si>
  <si>
    <t>Tag Category: Sexual Content</t>
  </si>
  <si>
    <t>Tag Category: Theme-Game</t>
  </si>
  <si>
    <t>Tag Category: Theme-Fantasy</t>
  </si>
  <si>
    <t>Tag Category: Theme-Arts-Music</t>
  </si>
  <si>
    <t>Tag Category: Theme-Sci-Fi</t>
  </si>
  <si>
    <t>Studio: Felix Film</t>
  </si>
  <si>
    <t>Studio: bilibili</t>
  </si>
  <si>
    <t>Studio: diomedéa</t>
  </si>
  <si>
    <t>Studio: King Records</t>
  </si>
  <si>
    <t>Studio: Lerche</t>
  </si>
  <si>
    <t>Studio: J.C. Staff</t>
  </si>
  <si>
    <t>Studio: Genco</t>
  </si>
  <si>
    <t>Studio: ADV Films</t>
  </si>
  <si>
    <t>Studio: Lantis</t>
  </si>
  <si>
    <t>Studio: Imagica</t>
  </si>
  <si>
    <t>Studio: TV Tokyo Music</t>
  </si>
  <si>
    <t>Studio: Cosmic Ray</t>
  </si>
  <si>
    <t>Studio: Aniplex</t>
  </si>
  <si>
    <t>Studio: Funimation</t>
  </si>
  <si>
    <t>Studio: Brain's Base</t>
  </si>
  <si>
    <t>Studio: Aniplex of America</t>
  </si>
  <si>
    <t>Studio: Sakura Create</t>
  </si>
  <si>
    <t>Studio: Happinet Pictures</t>
  </si>
  <si>
    <t>Studio: Kinema Citrus</t>
  </si>
  <si>
    <t>Studio: VAP</t>
  </si>
  <si>
    <t>Studio: Nippon Television Network</t>
  </si>
  <si>
    <t>Studio: A-1 Pictures</t>
  </si>
  <si>
    <t>Studio: Kansai TV</t>
  </si>
  <si>
    <t>Studio: Studio Blanc</t>
  </si>
  <si>
    <t>Studio: Kyoto Animation</t>
  </si>
  <si>
    <t>Studio: Pony Canyon</t>
  </si>
  <si>
    <t>Studio: TBS</t>
  </si>
  <si>
    <t>Studio: Rakuonsha</t>
  </si>
  <si>
    <t>Studio: Animation Do</t>
  </si>
  <si>
    <t>Studio: DAX Production</t>
  </si>
  <si>
    <t>Studio: Dream Creation</t>
  </si>
  <si>
    <t>Studio: Creators in Pack</t>
  </si>
  <si>
    <t>Studio: Sunrise</t>
  </si>
  <si>
    <t>Studio: TV Tokyo</t>
  </si>
  <si>
    <t>Studio: Square Enix</t>
  </si>
  <si>
    <t>Studio: NIS America Inc.</t>
  </si>
  <si>
    <t>Studio: Trinity Sound</t>
  </si>
  <si>
    <t>Studio: Nexus</t>
  </si>
  <si>
    <t>Studio: Magic Capsule</t>
  </si>
  <si>
    <t>Studio: Hoods Entertainment</t>
  </si>
  <si>
    <t>Studio: NBCUniversal Entertainment Japan</t>
  </si>
  <si>
    <t>Studio: Doga Kobo</t>
  </si>
  <si>
    <t>Studio: AT-X</t>
  </si>
  <si>
    <t>Studio: NTT Plala</t>
  </si>
  <si>
    <t>Studio: KADOKAWA</t>
  </si>
  <si>
    <t>Studio: Shogakukan</t>
  </si>
  <si>
    <t>Studio: Kadokawa Media House</t>
  </si>
  <si>
    <t>Studio: Ray</t>
  </si>
  <si>
    <t>Studio: MAGES.</t>
  </si>
  <si>
    <t>Studio: bones</t>
  </si>
  <si>
    <t>Studio: Mainichi Broadcasting System</t>
  </si>
  <si>
    <t>Studio: ZEXCS</t>
  </si>
  <si>
    <t>Studio: KYORAKU</t>
  </si>
  <si>
    <t>Studio: Sony Music Communications</t>
  </si>
  <si>
    <t>Studio: Sentai Filmworks</t>
  </si>
  <si>
    <t>Studio: Frontier Works</t>
  </si>
  <si>
    <t>Studio: Media Factory</t>
  </si>
  <si>
    <t>Studio: Dentsu</t>
  </si>
  <si>
    <t>Studio: Audio Highs</t>
  </si>
  <si>
    <t>Studio: Miracle Robo</t>
  </si>
  <si>
    <t>Studio: Geno Studio</t>
  </si>
  <si>
    <t>Studio: Zero-G</t>
  </si>
  <si>
    <t>Studio: Kodansha</t>
  </si>
  <si>
    <t>Studio: Avex Entertainment</t>
  </si>
  <si>
    <t>Studio: Q-Tec</t>
  </si>
  <si>
    <t>Studio: TMS Entertainment</t>
  </si>
  <si>
    <t>Studio: David Production</t>
  </si>
  <si>
    <t>Studio: feel.</t>
  </si>
  <si>
    <t>Studio: Nippon Columbia</t>
  </si>
  <si>
    <t>Studio: MADHOUSE</t>
  </si>
  <si>
    <t>Studio: Viz Media</t>
  </si>
  <si>
    <t>Studio: MAPPA</t>
  </si>
  <si>
    <t>Studio: Fuji TV</t>
  </si>
  <si>
    <t>Studio: DMM pictures</t>
  </si>
  <si>
    <t>Studio: SILVER LINK.</t>
  </si>
  <si>
    <t>Studio: ABC Animation</t>
  </si>
  <si>
    <t>Studio: Sammy</t>
  </si>
  <si>
    <t>Studio: Docomo Anime Store</t>
  </si>
  <si>
    <t>Studio: D-techno</t>
  </si>
  <si>
    <t>Studio: Movic</t>
  </si>
  <si>
    <t>Studio: Bandai Entertainment</t>
  </si>
  <si>
    <t>Studio: Maho Film</t>
  </si>
  <si>
    <t>Studio: Asmik Ace</t>
  </si>
  <si>
    <t>Studio: Toei Video</t>
  </si>
  <si>
    <t>Studio: Nikkatsu</t>
  </si>
  <si>
    <t>Studio: BS Fuji</t>
  </si>
  <si>
    <t>Studio: Hobby Japan</t>
  </si>
  <si>
    <t>Studio: Bandai Namco Arts</t>
  </si>
  <si>
    <t>Studio: P.A. Works</t>
  </si>
  <si>
    <t>Studio: TOKYO MX</t>
  </si>
  <si>
    <t>Studio: BS11</t>
  </si>
  <si>
    <t>Studio: Nagoya Broadcasting Network</t>
  </si>
  <si>
    <t>Studio: Visual Arts</t>
  </si>
  <si>
    <t>Studio: CoMix Wave</t>
  </si>
  <si>
    <t>Studio: Kadokawa Pictures Japan</t>
  </si>
  <si>
    <t>Studio: NYAV Post</t>
  </si>
  <si>
    <t>Studio: Toho</t>
  </si>
  <si>
    <t>Studio: Madman Entertainment</t>
  </si>
  <si>
    <t>Studio: Selecta Visión</t>
  </si>
  <si>
    <t>Studio: Forecast Communications</t>
  </si>
  <si>
    <t>Studio: Twin Engine</t>
  </si>
  <si>
    <t>Studio: Artland</t>
  </si>
  <si>
    <t>Studio: Studio DEEN</t>
  </si>
  <si>
    <t>Studio: Studio Pierrot</t>
  </si>
  <si>
    <t>Studio: Sony Music Entertainment</t>
  </si>
  <si>
    <t>Studio: Cygames</t>
  </si>
  <si>
    <t>Studio: Daume</t>
  </si>
  <si>
    <t>Studio: Starchild Records</t>
  </si>
  <si>
    <t>Studio: Eye Move</t>
  </si>
  <si>
    <t>Studio: Sunny Side Up</t>
  </si>
  <si>
    <t>Studio: Kadokawa Shoten</t>
  </si>
  <si>
    <t>Studio: Tear-Studio</t>
  </si>
  <si>
    <t>Studio: OLM</t>
  </si>
  <si>
    <t>Studio: P.I.C.S.</t>
  </si>
  <si>
    <t>Studio: Pony Canyon Enterprise</t>
  </si>
  <si>
    <t>Studio: Crunchyroll</t>
  </si>
  <si>
    <t>Studio: Yoshimoto Kogyo</t>
  </si>
  <si>
    <t>Studio: Bandai Visual</t>
  </si>
  <si>
    <t>Studio: Shueisha</t>
  </si>
  <si>
    <t>Studio: Banpresto</t>
  </si>
  <si>
    <t>Studio: Asatsu DK</t>
  </si>
  <si>
    <t>Studio: Good Smile Company</t>
  </si>
  <si>
    <t>Studio: Seven Arcs</t>
  </si>
  <si>
    <t>Studio: xenron</t>
  </si>
  <si>
    <t>Studio: Hanabee Entertainment</t>
  </si>
  <si>
    <t>Studio: White Fox</t>
  </si>
  <si>
    <t>Studio: Studio Signpost</t>
  </si>
  <si>
    <t>Studio: Nihon Narration Engi Kenkyuujo</t>
  </si>
  <si>
    <t>Studio: project No.9</t>
  </si>
  <si>
    <t>Studio: CloverWorks</t>
  </si>
  <si>
    <t>Studio: Hakuhodo DY Music &amp; Pictures</t>
  </si>
  <si>
    <t>Studio: CONNECT</t>
  </si>
  <si>
    <t>Studio: DMM music</t>
  </si>
  <si>
    <t>Studio: Happinet Phantom Studios</t>
  </si>
  <si>
    <t>Studio: Dream Shift</t>
  </si>
  <si>
    <t>Studio: Sotsu</t>
  </si>
  <si>
    <t>Studio: Klock Worx</t>
  </si>
  <si>
    <t>Studio: Bit Grooove Promotion</t>
  </si>
  <si>
    <t>Studio: Bergamo</t>
  </si>
  <si>
    <t>Studio: arma bianca</t>
  </si>
  <si>
    <t>Studio: BS Nippon</t>
  </si>
  <si>
    <t>Studio: YOMIURI BRAND STUDIO</t>
  </si>
  <si>
    <t>Studio: APDREAM</t>
  </si>
  <si>
    <t>Studio: Media Blasters</t>
  </si>
  <si>
    <t>Studio: TYO Animations</t>
  </si>
  <si>
    <t>Studio: Studio Jack</t>
  </si>
  <si>
    <t>Studio: Satelight</t>
  </si>
  <si>
    <t>Studio: HORNETS</t>
  </si>
  <si>
    <t>Studio: Mixer</t>
  </si>
  <si>
    <t>Studio: North Stars Pictures</t>
  </si>
  <si>
    <t>Studio: JY Animation</t>
  </si>
  <si>
    <t>Studio: CA-Cygames Anime Fund</t>
  </si>
  <si>
    <t>Studio: Wit Studio</t>
  </si>
  <si>
    <t>Studio: Shogakukan-Shueisha Productions</t>
  </si>
  <si>
    <t>Studio: East Japan Marketing &amp; Communications</t>
  </si>
  <si>
    <t>Studio: Lawson Entertainment</t>
  </si>
  <si>
    <t>Studio: STORY Inc.</t>
  </si>
  <si>
    <t>Studio: GKids</t>
  </si>
  <si>
    <t>Studio: 8-bit</t>
  </si>
  <si>
    <t>Studio: Bandai Namco Pictures</t>
  </si>
  <si>
    <t>Studio: Haoliners Animation</t>
  </si>
  <si>
    <t>Studio: Studio LAN</t>
  </si>
  <si>
    <t>Studio: SPRiNG</t>
  </si>
  <si>
    <t>Studio: Studio Gokumi</t>
  </si>
  <si>
    <t>Studio: NAS</t>
  </si>
  <si>
    <t>Studio: ENGI</t>
  </si>
  <si>
    <t>Studio: YTV</t>
  </si>
  <si>
    <t>Studio: Kanetsuu Investment</t>
  </si>
  <si>
    <t>Studio: Christmas Holly</t>
  </si>
  <si>
    <t>Studio: Ichijinsha</t>
  </si>
  <si>
    <t>Studio: NUT</t>
  </si>
  <si>
    <t>Studio: C-Station</t>
  </si>
  <si>
    <t>Weighted Score</t>
  </si>
  <si>
    <t>Weight</t>
  </si>
  <si>
    <t>Genre</t>
  </si>
  <si>
    <t>Rank</t>
  </si>
  <si>
    <t>Type</t>
  </si>
  <si>
    <t>Tag</t>
  </si>
  <si>
    <t>Studio</t>
  </si>
  <si>
    <t>Tag Category</t>
  </si>
  <si>
    <t>Format</t>
  </si>
  <si>
    <t>Episode</t>
  </si>
  <si>
    <t>Season</t>
  </si>
  <si>
    <t>Staff</t>
  </si>
  <si>
    <t>Year</t>
  </si>
  <si>
    <t>Tag: POV</t>
  </si>
  <si>
    <t>Staff Role: Key Animation (OP, ep 1)</t>
  </si>
  <si>
    <t>Staff Role: Original Creator</t>
  </si>
  <si>
    <t>Staff Role: Music</t>
  </si>
  <si>
    <t>Staff Role: Character Design</t>
  </si>
  <si>
    <t>Staff Role: Chief Director</t>
  </si>
  <si>
    <t>Staff Role: Series Composition</t>
  </si>
  <si>
    <t>Staff Role: Director</t>
  </si>
  <si>
    <t>Staff Role: Script (eps 2, 5, 8)</t>
  </si>
  <si>
    <t>Staff Role: Script (eps 1, 4, 7)</t>
  </si>
  <si>
    <t>Staff Role: Chief Animation Director (eps 3, 6)</t>
  </si>
  <si>
    <t>Staff Role: Chief Animation Director (OP, ED, ep 1)</t>
  </si>
  <si>
    <t>Staff Role: Chief Animation Director (eps 2, 5, 8)</t>
  </si>
  <si>
    <t>Staff Role: Chief Animation Director (eps 1, 4)</t>
  </si>
  <si>
    <t>Staff Role: Art Director</t>
  </si>
  <si>
    <t>Staff Role: Color Design</t>
  </si>
  <si>
    <t>Staff Role: Director of Photography</t>
  </si>
  <si>
    <t>Staff Role: Special Effects</t>
  </si>
  <si>
    <t>Staff Role: Sound Director</t>
  </si>
  <si>
    <t>Staff Role: Executive Producer</t>
  </si>
  <si>
    <t>Staff Role: Editing</t>
  </si>
  <si>
    <t>Staff Role: Producer</t>
  </si>
  <si>
    <t>Staff Role: Theme Song Performance (OP)</t>
  </si>
  <si>
    <t>Staff Role: Theme Song Performance (ED)</t>
  </si>
  <si>
    <t>Staff Role: ADR Director (English)</t>
  </si>
  <si>
    <t>Staff Role: Assistant ADR Engineer (English)</t>
  </si>
  <si>
    <t>Staff Role: Art Design</t>
  </si>
  <si>
    <t>Staff Role: Photography</t>
  </si>
  <si>
    <t>Staff Role: Script</t>
  </si>
  <si>
    <t>Staff Role: Storyboard (OP, eps 1, 2, 10-12)</t>
  </si>
  <si>
    <t>Staff Role: Storyboard (eps 3, 7)</t>
  </si>
  <si>
    <t>Staff Role: Storyboard (eps 5, 6, 8)</t>
  </si>
  <si>
    <t>Staff Role: Storyboard (eps 4, 9)</t>
  </si>
  <si>
    <t>Staff Role: Episode Director (ep 7)</t>
  </si>
  <si>
    <t>Staff Role: Episode Director (eps 1, 10-12)</t>
  </si>
  <si>
    <t>Staff Role: Episode Director (eps 6, 8)</t>
  </si>
  <si>
    <t>Staff Role: Episode Director (eps 4, 9)</t>
  </si>
  <si>
    <t>Staff Role: Episode Director (eps 5, 8)</t>
  </si>
  <si>
    <t>Staff Role: Episode Director (eps 2, 10)</t>
  </si>
  <si>
    <t>Staff Role: Assistant Director</t>
  </si>
  <si>
    <t>Staff Role: Theme Song Performance (OP, ED)</t>
  </si>
  <si>
    <t>Staff Role: Key Animation (ep 8)</t>
  </si>
  <si>
    <t>Staff Role: Key Animation (eps 8-11)</t>
  </si>
  <si>
    <t>Staff Role: Chief Animation Director</t>
  </si>
  <si>
    <t>Staff Role: Animation Producer</t>
  </si>
  <si>
    <t>Staff Role: Title Logo Design</t>
  </si>
  <si>
    <t>Staff Role: Storyboard (OP, eps 1-12)</t>
  </si>
  <si>
    <t>Staff Role: Storyboard (ED)</t>
  </si>
  <si>
    <t>Staff Role: Episode Director (ep 6)</t>
  </si>
  <si>
    <t>Staff Role: Episode Director (ep 11)</t>
  </si>
  <si>
    <t>Staff Role: Script (1, 8, 12)</t>
  </si>
  <si>
    <t>Staff Role: Storyboard  (eps 16, 24)</t>
  </si>
  <si>
    <t>Staff Role: Key Animation (ep 4, 9)</t>
  </si>
  <si>
    <t>Staff Role: Key Animation  (ep 4)</t>
  </si>
  <si>
    <t>Staff Role: Executive Producer (English)</t>
  </si>
  <si>
    <t>Staff Role: Animation Director  (OP/ED, Ep. 14)</t>
  </si>
  <si>
    <t>Staff Role: Theme Song Composition</t>
  </si>
  <si>
    <t>Staff Role: Theme Song Performance</t>
  </si>
  <si>
    <t>Staff Role: Key Animation  (OP)</t>
  </si>
  <si>
    <t>Staff Role: Planning</t>
  </si>
  <si>
    <t>Staff Role: Storyboard (ED, eps 1-3, 7, 9, 17, 23, 26)</t>
  </si>
  <si>
    <t>Staff Role: Animation Director (ep 4)</t>
  </si>
  <si>
    <t>Staff Role: Key Animation (eps 2, 26)</t>
  </si>
  <si>
    <t>Staff Role: Theme Song Lyrics</t>
  </si>
  <si>
    <t>Staff Role: Key Animation (ED)</t>
  </si>
  <si>
    <t>Staff Role: Key Animation  (eps 2, 7, 10)</t>
  </si>
  <si>
    <t>Staff Role: Producer (English)</t>
  </si>
  <si>
    <t>Staff Role: Script (English; eps 4-13)</t>
  </si>
  <si>
    <t>Staff Role: Script (English; ep 1)</t>
  </si>
  <si>
    <t>Staff Role: Original Character Design</t>
  </si>
  <si>
    <t>Staff Role: Theme Song Composition (ED)</t>
  </si>
  <si>
    <t>Staff Role: Theme Song Lyrics (ED)</t>
  </si>
  <si>
    <t>Staff Role: Storyboard (OP, eps 1, 4, 13)</t>
  </si>
  <si>
    <t>Staff Role: Episode Director (OP, ep 13)</t>
  </si>
  <si>
    <t>Staff Role: Script (eps 1-13)</t>
  </si>
  <si>
    <t>Staff Role: Episode Director (eps 6, 11)</t>
  </si>
  <si>
    <t>Staff Role: Storyboard (eps 6, 7, 11)</t>
  </si>
  <si>
    <t>Staff Role: Episode Director (ep 10)</t>
  </si>
  <si>
    <t>Staff Role: Episode Director (ep 12)</t>
  </si>
  <si>
    <t>Staff Role: Storyboard (eps 2, 8, 10)</t>
  </si>
  <si>
    <t>Staff Role: Episode Director (ep 8)</t>
  </si>
  <si>
    <t>Staff Role: Animation Director (ep 5)</t>
  </si>
  <si>
    <t>Staff Role: Chief Animation Director (eps 1-12)</t>
  </si>
  <si>
    <t>Staff Role: Animation Director (eps 1, 5, 12)</t>
  </si>
  <si>
    <t>Staff Role: Storyboard (eps 7, 12)</t>
  </si>
  <si>
    <t>Staff Role: Episode Director (eps 9, 10)</t>
  </si>
  <si>
    <t>Staff Role: Animation Director (eps 10, 12)</t>
  </si>
  <si>
    <t>Staff Role: Assistant Animation Director (eps 7, 11)</t>
  </si>
  <si>
    <t>Staff Role: Script (eps 1-12)</t>
  </si>
  <si>
    <t>Staff Role: Key Animation (ep 1)</t>
  </si>
  <si>
    <t>Staff Role: In-Between Animation (ep 6)</t>
  </si>
  <si>
    <t>Staff Role: Production</t>
  </si>
  <si>
    <t>Staff Role: Chief Animation Director (eps 3, 6, 9, 12)</t>
  </si>
  <si>
    <t>Staff Role: Chief Animation Director (eps 4, 7, 10, 12)</t>
  </si>
  <si>
    <t>Staff Role: Chief Animation Director (eps 1, 2, 5, 8, 11, 12)</t>
  </si>
  <si>
    <t>Staff Role: Animation Director (eps 2, 12)</t>
  </si>
  <si>
    <t>Staff Role: Assistant Animation Director (ep 10)</t>
  </si>
  <si>
    <t>Staff Role: Main Animator</t>
  </si>
  <si>
    <t>Staff Role: Script (eps 1-4, 6-8, 10-12)</t>
  </si>
  <si>
    <t>Staff Role: Animation Director (OP, ED)</t>
  </si>
  <si>
    <t>Staff Role: Animation Director (eps 1, 12)</t>
  </si>
  <si>
    <t>Staff Role: Script (eps 3, 6, 9, 11)</t>
  </si>
  <si>
    <t>Staff Role: Script (eps 1, 5, 10)</t>
  </si>
  <si>
    <t>Staff Role: Script (eps 4, 7)</t>
  </si>
  <si>
    <t>Staff Role: Script (eps 2, 8)</t>
  </si>
  <si>
    <t>Staff Role: Storyboard (eps 1, 2)</t>
  </si>
  <si>
    <t>Staff Role: Episode Director (eps 4, 8)</t>
  </si>
  <si>
    <t>Staff Role: Episode Director (eps 1, 11)</t>
  </si>
  <si>
    <t>Staff Role: Storyboard (eps 4, 8)</t>
  </si>
  <si>
    <t>Staff Role: Episode Director (ep 9)</t>
  </si>
  <si>
    <t>Staff Role: Storyboard (eps 3, 7, 9, 11)</t>
  </si>
  <si>
    <t>Staff Role: Storyboard (ep 3)</t>
  </si>
  <si>
    <t>Staff Role: Animation Director (eps 3, 8)</t>
  </si>
  <si>
    <t>Staff Role: Animation Director (ep 1)</t>
  </si>
  <si>
    <t>Staff Role: Animation Director (eps 1, 2)</t>
  </si>
  <si>
    <t>Staff Role: Animation Director (eps 5, 6, 9, 10)</t>
  </si>
  <si>
    <t>Staff Role: Animation Director (eps 1, 6, 8-11)</t>
  </si>
  <si>
    <t>Staff Role: Animation Director (ep 3)</t>
  </si>
  <si>
    <t>Staff Role: Key Animation (ep 2, 4, 6)</t>
  </si>
  <si>
    <t>Staff Role: Key Animation (ep 5)</t>
  </si>
  <si>
    <t>Staff Role: Storyboard (ep 5)</t>
  </si>
  <si>
    <t>Staff Role: Storyboard (eps 1, 2, 4, 8, 9, 12)</t>
  </si>
  <si>
    <t>Staff Role: Storyboard (eps 7, 10)</t>
  </si>
  <si>
    <t>Staff Role: Episode Director (ep 2)</t>
  </si>
  <si>
    <t>Staff Role: Storyboard (eps 6, 8)</t>
  </si>
  <si>
    <t>Staff Role: Episode Director (ep 5)</t>
  </si>
  <si>
    <t>Staff Role: Episode Director (eps 1, 4, 6, 12)</t>
  </si>
  <si>
    <t>Staff Role: Chief Animation Director (eps 1, 2, 9, 10, 12)</t>
  </si>
  <si>
    <t>Staff Role: Chief Animation Director (ep 9, 12)</t>
  </si>
  <si>
    <t>Staff Role: Storyboard (ep 11)</t>
  </si>
  <si>
    <t>Staff Role: Original Story</t>
  </si>
  <si>
    <t>Staff Role: Theme Song Arrangement (OP)</t>
  </si>
  <si>
    <t>Staff Role: Insert Song Performance (ep 20)</t>
  </si>
  <si>
    <t>Staff Role: Theme Song Lyrics (OP)</t>
  </si>
  <si>
    <t>Staff Role: Theme Song Composition (OP)</t>
  </si>
  <si>
    <t>Staff Role: 2D Works (ep 8)</t>
  </si>
  <si>
    <t>Staff Role: Storyboard  (OP)</t>
  </si>
  <si>
    <t>Staff Role: Key Animation  (ep 5)</t>
  </si>
  <si>
    <t>Staff Role: 2nd Key Animation  (ep 2)</t>
  </si>
  <si>
    <t>Staff Role: Key Animation  (ep 6)</t>
  </si>
  <si>
    <t>Staff Role: Animation Director  (OP, ep 1)</t>
  </si>
  <si>
    <t>Staff Role: Background Art</t>
  </si>
  <si>
    <t>Staff Role: Animation Director  (ED)</t>
  </si>
  <si>
    <t>Staff Role: Key Animation  (ED)</t>
  </si>
  <si>
    <t>Staff Role: Storyboard (1, 2, 5)</t>
  </si>
  <si>
    <t>Staff Role: Episode Director  (1, 2, 5, OP)</t>
  </si>
  <si>
    <t>Staff Role: Theme Song Performance (ep. 1-11)</t>
  </si>
  <si>
    <t>Staff Role: Key Animation (eps 3, 8)</t>
  </si>
  <si>
    <t>Staff Role: CG Director</t>
  </si>
  <si>
    <t>Staff Role: Prop Design</t>
  </si>
  <si>
    <t>Staff Role: Weapon Supervisor</t>
  </si>
  <si>
    <t>Staff Role: Weapon Design</t>
  </si>
  <si>
    <t>Staff Role: Chief Animation Director (OP, ep 1)</t>
  </si>
  <si>
    <t>Staff Role: Storyboard (OP)</t>
  </si>
  <si>
    <t>Staff Role: Action Animation Director (OP, ep 1)</t>
  </si>
  <si>
    <t>Staff Role: Storyboard (ep 1)</t>
  </si>
  <si>
    <t>Staff Role: Animation Director (OP, ep 1)</t>
  </si>
  <si>
    <t>Staff Role: Episode Director (OP)</t>
  </si>
  <si>
    <t>Staff Role: Storyboard (ep 6)</t>
  </si>
  <si>
    <t>Staff Role: Storyboard (ep 4)</t>
  </si>
  <si>
    <t>Staff Role: Script (English)</t>
  </si>
  <si>
    <t>Staff Role: Assistant ADR Director (English)</t>
  </si>
  <si>
    <t>Staff Role: Mixing Engineer (English)</t>
  </si>
  <si>
    <t>Staff Role: Lead ADR Engineer (English)</t>
  </si>
  <si>
    <t>Staff Role: ADR Script Supervisor (English)</t>
  </si>
  <si>
    <t>Staff Role: ADR Director (German)</t>
  </si>
  <si>
    <t>Staff Role: Script (German)</t>
  </si>
  <si>
    <t>Staff Role: Animation Director (eps 2, 8, 10, 13)</t>
  </si>
  <si>
    <t>Staff Role: Key Animation (eps 8, 13)</t>
  </si>
  <si>
    <t>Staff Role: Storyboard (ep 10)</t>
  </si>
  <si>
    <t>Staff Role: Episode Director (OP, eps 3, 10, 13)</t>
  </si>
  <si>
    <t>Staff Role: Key Animation (ep 10)</t>
  </si>
  <si>
    <t>Staff Role: Animation Director (OP, ED, ep 1)</t>
  </si>
  <si>
    <t>Staff Role: Key Animation (OP, ep 3-13)</t>
  </si>
  <si>
    <t>Staff Role: Key Animation (eps 2, 6, 8)</t>
  </si>
  <si>
    <t>Staff Role: Animation Director (eps 6, 10, 13)</t>
  </si>
  <si>
    <t>Staff Role: Assistant Animation Director (eps 8, 12)</t>
  </si>
  <si>
    <t>Staff Role: Key Animation (eps 1, 2, 4, 6)</t>
  </si>
  <si>
    <t>Staff Role: Animation Director (eps 7, 11)</t>
  </si>
  <si>
    <t>Staff Role: Key Animation (eps 1, 4, 6)</t>
  </si>
  <si>
    <t>Staff Role: Script (eps 4, 5, 7, 11)</t>
  </si>
  <si>
    <t>Staff Role: 2nd Key Animation (eps 5-12)</t>
  </si>
  <si>
    <t>Staff Role: Opening Theme Producer</t>
  </si>
  <si>
    <t>Staff Role: Script (eps 1-3, 7-9, 12, 14, 17, 19, 30, 32, 40, 46, 53, 55, 56, 58-64)</t>
  </si>
  <si>
    <t>Staff Role: Theme Song Performance (ED5)</t>
  </si>
  <si>
    <t>Staff Role: Theme Song Composition (OP1)</t>
  </si>
  <si>
    <t>Staff Role: Theme Song Lyrics (OP1)</t>
  </si>
  <si>
    <t>Staff Role: Theme Song Performance (OP1)</t>
  </si>
  <si>
    <t>Staff Role: Key Animation (eps 1, 20)</t>
  </si>
  <si>
    <t>Staff Role: Key Animation (ep 33)</t>
  </si>
  <si>
    <t>Staff Role: Animation Director (eps 10, 52, 60, 62, 64)</t>
  </si>
  <si>
    <t>Staff Role: Storyboard (OP1, ED2, ED4, ED5, eps 1, 2, 5, 8, 63, 64)</t>
  </si>
  <si>
    <t>Staff Role: Episode Director (OP1, ep 64)</t>
  </si>
  <si>
    <t>Staff Role: Storyboard  (ep 7)</t>
  </si>
  <si>
    <t>Staff Role: Key Animation (OP2)</t>
  </si>
  <si>
    <t>Staff Role: Key Animation (ep 23)</t>
  </si>
  <si>
    <t>Staff Role: Theme Song Performance (OP5)</t>
  </si>
  <si>
    <t>Staff Role: Theme Song Arrangement (OP5)</t>
  </si>
  <si>
    <t>Staff Role: Background Art (eps 1-2)</t>
  </si>
  <si>
    <t>Staff Role: Theme Song Arrangement (ED)</t>
  </si>
  <si>
    <t>Staff Role: Insert Song Performance ("Jishozukuri no Uta: We Are Jisho-tans"; ep 4)</t>
  </si>
  <si>
    <t>Staff Role: Insert Song Arrangment ("Jishozukuri no Uta: We Are Jisho-tans"; ep 4)</t>
  </si>
  <si>
    <t>Staff Role: Insert Song Composition ("Jishozukuri no Uta: We Are Jisho-tans"; ep 4)</t>
  </si>
  <si>
    <t>Staff Role: Insert Song Performance ("Shiokaze"; ep 4)</t>
  </si>
  <si>
    <t>Staff Role: Chief Animation Director (ED2, eps 1, 3, 6, 8, 10, 12)</t>
  </si>
  <si>
    <t>Staff Role: Theme Song Performance (OP &amp; ED)</t>
  </si>
  <si>
    <t>Staff Role: Script (eps 3, 7, 10)</t>
  </si>
  <si>
    <t>Staff Role: Script (eps 1, 5, 12)</t>
  </si>
  <si>
    <t>Staff Role: Script (eps 2, 6, 9)</t>
  </si>
  <si>
    <t xml:space="preserve">Staff Role: Chief Animation Director (eps 2, 4, 5, 7, 9, 11) </t>
  </si>
  <si>
    <t>Staff Role: Animation Director (OP, ED, ep 12)</t>
  </si>
  <si>
    <t>Staff Role: Key Animation (eps 1, 2)</t>
  </si>
  <si>
    <t>Staff Role: Sub-Character Design</t>
  </si>
  <si>
    <t>Staff Role: Key Animation (OP, eps 1, 5, 7, 8, 12)</t>
  </si>
  <si>
    <t>Staff Role: Theme Song Composition (ED2)</t>
  </si>
  <si>
    <t>Staff Role: Theme Song Performance (ED2)</t>
  </si>
  <si>
    <t>Staff Role: Chief Episode Director</t>
  </si>
  <si>
    <t>Staff Role: Insert Manga Production</t>
  </si>
  <si>
    <t>Staff Role: Music Producer</t>
  </si>
  <si>
    <t>Staff Role: Insert Song Performance  (ep 133)</t>
  </si>
  <si>
    <t>Staff Role: Insert Song Performance</t>
  </si>
  <si>
    <t>Staff Role: Storyboard</t>
  </si>
  <si>
    <t>Staff Role: Animation Director</t>
  </si>
  <si>
    <t>Staff Role: Key Animation</t>
  </si>
  <si>
    <t>Staff Role: Theme Song Performance (ED4)</t>
  </si>
  <si>
    <t>Staff Role: Theme Song Performance (OP 1)</t>
  </si>
  <si>
    <t>Staff Role: Theme Song Performance (R2)</t>
  </si>
  <si>
    <t>Staff Role: Theme Song Performance (Kasanaru Kage)</t>
  </si>
  <si>
    <t>Staff Role: Theme Song Performance  (ED14)</t>
  </si>
  <si>
    <t>Staff Role: Theme Song Performance (12th ED)</t>
  </si>
  <si>
    <t>Staff Role: Theme Song Performance (Ending 7)</t>
  </si>
  <si>
    <t>Staff Role: Theme Song Performance (ED6, OP5)</t>
  </si>
  <si>
    <t>Staff Role: Theme Song Arrangement (OP5, ED6)</t>
  </si>
  <si>
    <t>Staff Role: Theme Song Performance (ED3)</t>
  </si>
  <si>
    <t>Staff Role: Theme Song Performance (R3)</t>
  </si>
  <si>
    <t>Staff Role: Theme Song Performance (OP7)</t>
  </si>
  <si>
    <t>Staff Role: Creature Design</t>
  </si>
  <si>
    <t>Staff Role: Episode Director (ep 1)</t>
  </si>
  <si>
    <t>Staff Role: Storyboard (ep 2)</t>
  </si>
  <si>
    <t>Staff Role: Sub Character Design</t>
  </si>
  <si>
    <t>Staff Role: Animation Director (ep 2)</t>
  </si>
  <si>
    <t>Staff Role: Animal Animation Director (ep 1, 2)</t>
  </si>
  <si>
    <t>Staff Role: Theme Song Performance (OP1, ED2)</t>
  </si>
  <si>
    <t>Staff Role: Theme Song Performance (OP2, ED1)</t>
  </si>
  <si>
    <t>Staff Role: Theme Song Arrangement (OP1)</t>
  </si>
  <si>
    <t>Staff Role: Chief Animation Director (eps 1, 4, 5, 8, 9, 12-16, 18-22, 24)</t>
  </si>
  <si>
    <t>Staff Role: Action Director (ep 13)</t>
  </si>
  <si>
    <t>Staff Role: Action Director (eps 1, 5, 10, 15, 20)</t>
  </si>
  <si>
    <t>Staff Role: Script (eps 1, 3, 9, 10, 15-17, 19, 21-24)</t>
  </si>
  <si>
    <t>Staff Role: Action Director (eps 2, 3, 9, 12, 14)</t>
  </si>
  <si>
    <t>Staff Role: Design Works</t>
  </si>
  <si>
    <t>Staff Role: Action Animation Director (eps 1-24)</t>
  </si>
  <si>
    <t>Staff Role: Chief Animation Director (eps 2, 3, 6, 7, 10, 21)</t>
  </si>
  <si>
    <t>Staff Role: Script (eps 1-8, 10-12)</t>
  </si>
  <si>
    <t>Staff Role: Storyboard (eps 8, 12)</t>
  </si>
  <si>
    <t>Staff Role: Episode Director (eps 2, 9)</t>
  </si>
  <si>
    <t>Staff Role: Episode Director (ep 4)</t>
  </si>
  <si>
    <t>Staff Role: Assistant Episode Director (ep 3)</t>
  </si>
  <si>
    <t>Staff Role: Script (ep 9)</t>
  </si>
  <si>
    <t>Staff Role: Storyboard (OP, ED, ep 1)</t>
  </si>
  <si>
    <t>Staff Role: Animation Director (eps 2, 9)</t>
  </si>
  <si>
    <t>Staff Role: Episode Director (OP, ED, ep 1)</t>
  </si>
  <si>
    <t>Staff Role: Animation Director (eps 1, 7, 12)</t>
  </si>
  <si>
    <t>Staff Role: Assistant Episode Director (ep 7)</t>
  </si>
  <si>
    <t>Staff Role: Animation Director (ep 7)</t>
  </si>
  <si>
    <t>Staff Role: Animation Director (eps 2, 6)</t>
  </si>
  <si>
    <t>Staff Role: Script (eps 7, 13)</t>
  </si>
  <si>
    <t>Staff Role: Script (eps 1-6, 8-12)</t>
  </si>
  <si>
    <t>Staff Role: Chief Animation Director (eps 1-8, 10-13)</t>
  </si>
  <si>
    <t>Staff Role: Chief Animation Director (ep 1-5, 7, 9, 10, 12)</t>
  </si>
  <si>
    <t>Staff Role: Chief Animation Director (eps 6, 8, 10, 11)</t>
  </si>
  <si>
    <t>Staff Role: Fishing Gear Prop Design</t>
  </si>
  <si>
    <t>Staff Role: ADR Prep (English)</t>
  </si>
  <si>
    <t>Staff Role: Theme Song Composition (OP, ED)</t>
  </si>
  <si>
    <t>Staff Role: Character Design (eps 1-87)</t>
  </si>
  <si>
    <t>Staff Role: Key Animation (ep 43)</t>
  </si>
  <si>
    <t>Staff Role: Key Animation (OP1)</t>
  </si>
  <si>
    <t>Staff Role: Theme Song Arrangement (ED3)</t>
  </si>
  <si>
    <t>Staff Role: Theme Song Composition (ED3)</t>
  </si>
  <si>
    <t>Staff Role: Theme Song Lyrics (ED3)</t>
  </si>
  <si>
    <t>Staff Role: Theme Song Performance (ED1)</t>
  </si>
  <si>
    <t>Staff Role: Theme Song Performance (OP1-OP6)</t>
  </si>
  <si>
    <t>Staff Role: Theme Song Performance (ED3-ED5)</t>
  </si>
  <si>
    <t>Staff Role: Key Animation (OP4)</t>
  </si>
  <si>
    <t>Staff Role: Key Animation (ep 29)</t>
  </si>
  <si>
    <t>Staff Role: Key Animation (OP2-4, ED6, ep 148)</t>
  </si>
  <si>
    <t>Staff Role: Key Animation (ep 36)</t>
  </si>
  <si>
    <t>Staff Role: Key Animation (ED3)</t>
  </si>
  <si>
    <t>Staff Role: Key Animation (OP5, ED5, eps 73, 75, 78, 81, 85, 94, 100, 107, 110, 116, 123, 127, 131, 138, 139, 142, 145, 146)</t>
  </si>
  <si>
    <t>Staff Role: Key Animation (OP1-5, eps 6, 14, 21, 29, 50, 57, 135, 142, 148)</t>
  </si>
  <si>
    <t xml:space="preserve">Staff Role: Key Animation (OP6, eps 5, 12, 20, 28, 34, 40, 82, 91, 96, 98, 105, 112, 118, 125, 126, 132, 146) </t>
  </si>
  <si>
    <t>Staff Role: Chief Animation Director (eps 2, 5, 7, 9-11)</t>
  </si>
  <si>
    <t>Staff Role: Chief Animation Director (eps 7, 11)</t>
  </si>
  <si>
    <t>Staff Role: Chief Animation Director (eps 3, 6, 7, 9-11)</t>
  </si>
  <si>
    <t>Staff Role: Sound Effects</t>
  </si>
  <si>
    <t>Staff Role: Chief Animation Director (eps 1, 4, 8-11)</t>
  </si>
  <si>
    <t>Staff Role: Supervisor</t>
  </si>
  <si>
    <t>Staff Role: Chief Producer</t>
  </si>
  <si>
    <t>Staff Role: Theme Song Performance (OP, ED: ep 12)</t>
  </si>
  <si>
    <t>Staff Role: Musical Instrument Design</t>
  </si>
  <si>
    <t>Staff Role: Musical Instrument Animation Director</t>
  </si>
  <si>
    <t>Staff Role: Theme Song Arrangment (ED)</t>
  </si>
  <si>
    <t>Staff Role: Insert Song Performance (eps 6, 8, 12)</t>
  </si>
  <si>
    <t>Staff Role: Mix Engineer (English)</t>
  </si>
  <si>
    <t>Staff Role: ADR Scriptwriter (English)</t>
  </si>
  <si>
    <t>Staff Role: Original Story Assistance</t>
  </si>
  <si>
    <t>Staff Role: Production Committee</t>
  </si>
  <si>
    <t>Staff Role: ADR Director (English; eps 1-7, 10)</t>
  </si>
  <si>
    <t>Staff Role: ADR Director (English; eps 8, 9, 11, 12)</t>
  </si>
  <si>
    <t>Staff Role: Associate Producer</t>
  </si>
  <si>
    <t>Staff Role: In-Between Animation</t>
  </si>
  <si>
    <t>Staff Role: Insert Song Composition (eps 15, 23)</t>
  </si>
  <si>
    <t>Staff Role: Sub Character Design (eps 14, 20)</t>
  </si>
  <si>
    <t>Staff Role: Sub Character Design (ep 17)</t>
  </si>
  <si>
    <t>Staff Role: Assistant Director (eps 10, 13, 16, 22)</t>
  </si>
  <si>
    <t>Staff Role: Chief Animation Director (eps 1-24)</t>
  </si>
  <si>
    <t>Staff Role: Sub Character Design (eps 11, 15, 18, 22)</t>
  </si>
  <si>
    <t>Staff Role: Chief Animation Director (ep 5)</t>
  </si>
  <si>
    <t>Staff Role: Script (eps 4, 7, 9, 11)</t>
  </si>
  <si>
    <t>Staff Role: Script (eps 1-3, 8, 10, 12)</t>
  </si>
  <si>
    <t>Staff Role: Script (eps 5-6)</t>
  </si>
  <si>
    <t>Staff Role: Episode Director (ED)</t>
  </si>
  <si>
    <t>Staff Role: Theme Song Performance (ED1, ED: ep 12)</t>
  </si>
  <si>
    <t>Staff Role: Key Animation (eps 5, 9, 11)</t>
  </si>
  <si>
    <t>Staff Role: Theme Song Lyrics (ED1)</t>
  </si>
  <si>
    <t>Staff Role: Theme Song Arrangement (ED1)</t>
  </si>
  <si>
    <t>Staff Role: Theme Song Composition (ED1)</t>
  </si>
  <si>
    <t>Staff Role: Theme Song Performance (ED: ep 12)</t>
  </si>
  <si>
    <t>Staff Role: Theme Song Lyrics (ED: ep 12)</t>
  </si>
  <si>
    <t>Staff Role: Theme Song Composition (ED: ep 12)</t>
  </si>
  <si>
    <t>Staff Role: Theme Song Arrangement (ED: ep 12)</t>
  </si>
  <si>
    <t>Staff Role: Insert Song Performance (ep 5)</t>
  </si>
  <si>
    <t>Staff Role: Insert Song Lyrics (eps 5, 11)</t>
  </si>
  <si>
    <t>Staff Role: Insert Song Arrangement (eps 5, 11)</t>
  </si>
  <si>
    <t>Staff Role: Script (eps 1, 4, 6, 10)</t>
  </si>
  <si>
    <t>Staff Role: Theme Song Performance (OP, ED: ep 10)</t>
  </si>
  <si>
    <t>Staff Role: Chief Animation Director (eps 2, 4, 6, 8, 10)</t>
  </si>
  <si>
    <t>Staff Role: ADR Script (English)</t>
  </si>
  <si>
    <t>Staff Role: Theme Song Composition (OP, ED: ep 10)</t>
  </si>
  <si>
    <t>Staff Role: Theme Song Lyrics (OP, ED: ep 10)</t>
  </si>
  <si>
    <t>Staff Role: Theme Song Arrangement (OP, ED: ep 10)</t>
  </si>
  <si>
    <t>Staff Role: Assistant Director of Photography</t>
  </si>
  <si>
    <t>Staff Role: Insert Song Performance  (6)</t>
  </si>
  <si>
    <t>Staff Role: Storyboard  (ep 10)</t>
  </si>
  <si>
    <t>Staff Role: Episode Director  (ep 1)</t>
  </si>
  <si>
    <t>Staff Role: Storyboard  (eps 1-3)</t>
  </si>
  <si>
    <t>Staff Role: Episode Director  (ep 12)</t>
  </si>
  <si>
    <t>Staff Role: Storyboard  (ep 6)</t>
  </si>
  <si>
    <t>Staff Role: Episode Director  (ep 6)</t>
  </si>
  <si>
    <t>Staff Role: Key Animation (ep 3)</t>
  </si>
  <si>
    <t>Staff Role: Script (eps 1-3, 7-9, 13)</t>
  </si>
  <si>
    <t>Staff Role: Script (eps 4-6, 10-12)</t>
  </si>
  <si>
    <t>Staff Role: Theme Song Performance (OP, ED1-ED3)</t>
  </si>
  <si>
    <t>Staff Role: Biological Design</t>
  </si>
  <si>
    <t>Staff Role: Animation Director (eps 6, 9)</t>
  </si>
  <si>
    <t>Staff Role: Storyboard (eps 1-3, 5, 8-10, 12, 13)</t>
  </si>
  <si>
    <t>Staff Role: Storyboard (eps 4, 11)</t>
  </si>
  <si>
    <t>Staff Role: Episode Director (eps 2, 13)</t>
  </si>
  <si>
    <t>Staff Role: Episode Director (eps 4, 7, 8)</t>
  </si>
  <si>
    <t>Staff Role: Episode Director (eps 1, 6, 9)</t>
  </si>
  <si>
    <t>Staff Role: Episode Director (eps 5, 11)</t>
  </si>
  <si>
    <t>Staff Role: Casting Management</t>
  </si>
  <si>
    <t>Staff Role: Visual Effects</t>
  </si>
  <si>
    <t>Staff Role: Graphic Design</t>
  </si>
  <si>
    <t>Staff Role: Storyboard (ED, ep 2)</t>
  </si>
  <si>
    <t>Staff Role: Animation Director (OP)</t>
  </si>
  <si>
    <t>Staff Role: Episode Director (ED, ep 2)</t>
  </si>
  <si>
    <t>Staff Role: Theme Song Arrangement</t>
  </si>
  <si>
    <t>Staff Role: Storyboard  (ep 4, 7)</t>
  </si>
  <si>
    <t>Staff Role: Mechanical Design</t>
  </si>
  <si>
    <t>Staff Role: Episode Director</t>
  </si>
  <si>
    <t>Staff Role: Animation Director  (ep. 12)</t>
  </si>
  <si>
    <t>Staff Role: Storyboard  (eps 4, 8, 12-13)</t>
  </si>
  <si>
    <t>Staff Role: Script (eps 3, 7, 11)</t>
  </si>
  <si>
    <t>Staff Role: Script (eps 1, 5, 9, 12)</t>
  </si>
  <si>
    <t>Staff Role: Script (eps 2, 6, 10)</t>
  </si>
  <si>
    <t>Staff Role: Episode Director (eps 1, 12)</t>
  </si>
  <si>
    <t>Staff Role: Key Animation (OP)</t>
  </si>
  <si>
    <t>Staff Role: Chief Animation Director (1, 3, 5-6, 8, 10, 12)</t>
  </si>
  <si>
    <t>Staff Role: Chief Animation Director (2, 4, 7, 9, 11)</t>
  </si>
  <si>
    <t>Staff Role: Storyboard (OP,ED; eps 1-2, 5, 7-8, 10)</t>
  </si>
  <si>
    <t>Staff Role: Storyboard (eps 6, 9)</t>
  </si>
  <si>
    <t>Staff Role: Storyboard (eps 3-4)</t>
  </si>
  <si>
    <t>Staff Role: Episode Director (eps 6, 9)</t>
  </si>
  <si>
    <t>Staff Role: Episode Director (eps 1-2, 5, 10)</t>
  </si>
  <si>
    <t>Staff Role: Episode Director (eps 3-4)</t>
  </si>
  <si>
    <t>Staff Role: Episode Director (eps 7-8)</t>
  </si>
  <si>
    <t>Staff Role: Key Animation (ep 9)</t>
  </si>
  <si>
    <t>Staff Role: Key Animation (ep 12)</t>
  </si>
  <si>
    <t>Staff Role: Chief Animation Director (eps 2-11)</t>
  </si>
  <si>
    <t>Staff Role: Episode Director (OP, eps 1, 12)</t>
  </si>
  <si>
    <t>Staff Role: Episode Director (ED, eps 2, 6, 10)</t>
  </si>
  <si>
    <t>Staff Role: Episode Director (eps 5, 9)</t>
  </si>
  <si>
    <t>Staff Role: Storyboard (OP, eps 1-3, 12)</t>
  </si>
  <si>
    <t xml:space="preserve">Staff Role: Storyboard (ED, eps 4, 6) </t>
  </si>
  <si>
    <t>Staff Role: Production Desk</t>
  </si>
  <si>
    <t>Staff Role: Background Art (eps 1, 3, 4)</t>
  </si>
  <si>
    <t>Staff Role: Production Generalization</t>
  </si>
  <si>
    <t>Staff Role: Assistant Art Director</t>
  </si>
  <si>
    <t>Staff Role: Recording Assistant</t>
  </si>
  <si>
    <t>Staff Role: Key Animation (ep 2)</t>
  </si>
  <si>
    <t>Staff Role: Episode Director (eps 1-12)</t>
  </si>
  <si>
    <t>Staff Role: Key Animation (ep 11)</t>
  </si>
  <si>
    <t>Staff Role: Storyboard (OP, eps 1, 3, 12, 13)</t>
  </si>
  <si>
    <t>Staff Role: Episode Director (ep 3)</t>
  </si>
  <si>
    <t>Staff Role: Unit Director (OP)</t>
  </si>
  <si>
    <t>Staff Role: Storyboard (eps 6, 11)</t>
  </si>
  <si>
    <t>Staff Role: ADR Director (French)</t>
  </si>
  <si>
    <t>Staff Role: Monster Design</t>
  </si>
  <si>
    <t>Staff Role: Series Director</t>
  </si>
  <si>
    <t>Staff Role: 2nd Key Animation (eps 3, 8)</t>
  </si>
  <si>
    <t>Staff Role: Key Animation (ep 4)</t>
  </si>
  <si>
    <t>Staff Role: Key Animation (OP, eps 5, 7-9, 11, 13)</t>
  </si>
  <si>
    <t>Staff Role: Script (eps 6, 7, 9)</t>
  </si>
  <si>
    <t>Staff Role: Script (eps 1-5, 8, 10, 11)</t>
  </si>
  <si>
    <t>Staff Role: Theme Song Performance (ED1, ED2, ED4, OP2)</t>
  </si>
  <si>
    <t>Staff Role: Animation Director (ep 15, 20)</t>
  </si>
  <si>
    <t>Staff Role: 2nd Key Animation (ep 3, 13, 21, 22)</t>
  </si>
  <si>
    <t>Staff Role: Key Animation (ep 9, 15, 20, 25)</t>
  </si>
  <si>
    <t>Staff Role: Storyboard (ED3, eps 5, 8)</t>
  </si>
  <si>
    <t>Staff Role: Episode Director (ED3, ep 8)</t>
  </si>
  <si>
    <t>Staff Role: Storyboard (eps 13, 18, 22)</t>
  </si>
  <si>
    <t>Staff Role: Episode Director (eps 4, 10)</t>
  </si>
  <si>
    <t>Staff Role: Key Animation (eps 4, 5, 10)</t>
  </si>
  <si>
    <t>Staff Role: Animation Director (ep 15)</t>
  </si>
  <si>
    <t>Staff Role: 2nd Key Animation (eps 2, 16)</t>
  </si>
  <si>
    <t>Staff Role: Script (eps 7, 10, 11)</t>
  </si>
  <si>
    <t>Staff Role: Storyboard (eps 1, 4, 9, 10, 12)</t>
  </si>
  <si>
    <t>Staff Role: Unit Director (ep 6)</t>
  </si>
  <si>
    <t>Staff Role: Storyboard Assistance (ep 11)</t>
  </si>
  <si>
    <t>Staff Role: Storyboard (OP, ED, eps 1, 4, 7, 12)</t>
  </si>
  <si>
    <t>Staff Role: Key Animation (OP, eps 1, 5, 11)</t>
  </si>
  <si>
    <t>Staff Role: Storyboard (eps 5, 11)</t>
  </si>
  <si>
    <t>Staff Role: Animation Director (eps 2, 5)</t>
  </si>
  <si>
    <t>Staff Role: 2nd Key Animation (ep 1)</t>
  </si>
  <si>
    <t>Staff Role: Assistant Animation Director (ep 5)</t>
  </si>
  <si>
    <t>Staff Role: Animation Director (ep 11)</t>
  </si>
  <si>
    <t>Staff Role: Assistant Animation Director (ep 8)</t>
  </si>
  <si>
    <t>Staff Role: 2nd Key Animation</t>
  </si>
  <si>
    <t>Staff Role: Layout Supervisor</t>
  </si>
  <si>
    <t>Staff Role: Chief Unit Director</t>
  </si>
  <si>
    <t>Staff Role: Episode Director (ep 13)</t>
  </si>
  <si>
    <t>Staff Role: Storyboard (ep 9)</t>
  </si>
  <si>
    <t>Staff Role: Storyboard (ED1-5, eps 6, 12)</t>
  </si>
  <si>
    <t>Staff Role: Episode Director (OP, ED1-5, eps 1, 6, 12)</t>
  </si>
  <si>
    <t>Staff Role: Storyboard (OP, eps 1, 3, 13)</t>
  </si>
  <si>
    <t>Staff Role: Theme Song Performance (ED eps 1, 4, 5, 13)</t>
  </si>
  <si>
    <t>Staff Role: Theme Song Performance (ED eps 1, 9, 10, 13)</t>
  </si>
  <si>
    <t>Staff Role: Insert Song Performance (ep 10)</t>
  </si>
  <si>
    <t>Staff Role: Theme Song Performance (ED eps 1, 13)</t>
  </si>
  <si>
    <t>Staff Role: Theme Song Performance (ED eps 1, 11-13)</t>
  </si>
  <si>
    <t>Staff Role: Theme Song Performance (ED eps 1-3, 13)</t>
  </si>
  <si>
    <t>Staff Role: Theme Song Performance (ED eps 1, 7, 8, 13)</t>
  </si>
  <si>
    <t>Staff Role: Original Work Assistance</t>
  </si>
  <si>
    <t>Staff Role: ADR Director</t>
  </si>
  <si>
    <t>Staff Role: Theme Song Performance  (ED)</t>
  </si>
  <si>
    <t>Staff Role: Script  (ep 1, 2, 4, 5, 8, 10A, 10B, 11A, 12B, 12C)</t>
  </si>
  <si>
    <t>Staff Role: Theme Song Performance  (OP)</t>
  </si>
  <si>
    <t>Staff Role: Screenplay</t>
  </si>
  <si>
    <t>Staff Role: Storyboard  (eps 5a, 10a)</t>
  </si>
  <si>
    <t>Staff Role: Episode Director  (eps 5a, 10a, 10b)</t>
  </si>
  <si>
    <t>Staff Role: Key Animation  (ep 7)</t>
  </si>
  <si>
    <t>Staff Role: Storyboard  (eps 6B, 6C)</t>
  </si>
  <si>
    <t>Staff Role: Episode Director  (eps 6B, 6C)</t>
  </si>
  <si>
    <t>Staff Role: Key Animation  (ep 11)</t>
  </si>
  <si>
    <t>Staff Role: Episode Director  (ep 5c)</t>
  </si>
  <si>
    <t>Staff Role: Storyboard (ep 7)</t>
  </si>
  <si>
    <t>Staff Role: Episode Director (OP, eps 1, 5, 12)</t>
  </si>
  <si>
    <t>Staff Role: Storyboard (OP, eps 1-3, 5, 9, 12)</t>
  </si>
  <si>
    <t>Staff Role: Animation Director (eps 7, 12)</t>
  </si>
  <si>
    <t>Staff Role: Animation Director (eps 9, 11)</t>
  </si>
  <si>
    <t>Staff Role: Animation Director (OP, eps 8, 11)</t>
  </si>
  <si>
    <t>Staff Role: Animation Director (eps 6, 10)</t>
  </si>
  <si>
    <t>Staff Role: Chief Animation Director (OP, eps 1-12)</t>
  </si>
  <si>
    <t>Staff Role: Animation Director (eps 4, 11)</t>
  </si>
  <si>
    <t>Staff Role: Animation Director (eps 5, 12)</t>
  </si>
  <si>
    <t>Staff Role: Animation Director (eps 3, 9)</t>
  </si>
  <si>
    <t>Staff Role: Episode Director (eps 2, 6, 9)</t>
  </si>
  <si>
    <t>Staff Role: Music Director</t>
  </si>
  <si>
    <t>Staff Role: Chief Animation Director (eps 7, 8)</t>
  </si>
  <si>
    <t>Staff Role: Key Animation (OPa, OPb; ep 12)</t>
  </si>
  <si>
    <t>Staff Role: Music Production</t>
  </si>
  <si>
    <t>Staff Role: Chief Animation Director (eps 3, 5, 7, 9, 10)</t>
  </si>
  <si>
    <t>Staff Role: Chief Animation Director (eps 1, 2, 4, 8, 12)</t>
  </si>
  <si>
    <t>Staff Role: Episode Director (eps 4, 11)</t>
  </si>
  <si>
    <t>Staff Role: Insert Song Lyrics</t>
  </si>
  <si>
    <t>Staff Role: Insert Song Composition</t>
  </si>
  <si>
    <t>Staff Role: Image Board</t>
  </si>
  <si>
    <t>Staff Role: Unit Director</t>
  </si>
  <si>
    <t>Staff Role: Animation producer</t>
  </si>
  <si>
    <t>Staff Role: Insert Song Performance (ep 23)</t>
  </si>
  <si>
    <t>Staff Role: Insert Song Lyrics (ep 23)</t>
  </si>
  <si>
    <t>Staff Role: ADR Director (Latin American Spanish)</t>
  </si>
  <si>
    <t>Staff Role: ADR Engineer (English)</t>
  </si>
  <si>
    <t>Staff Role: Assistant ADR Director (English; eps 6-11)</t>
  </si>
  <si>
    <t>Staff Role: Storyboard (eps 5, 9)</t>
  </si>
  <si>
    <t>Staff Role: Set Design</t>
  </si>
  <si>
    <t>Staff Role: ADR Script (German)</t>
  </si>
  <si>
    <t>Staff Role: Key Animation (PV, eps 8, 10, 13)</t>
  </si>
  <si>
    <t>Staff Role: Background Art (PV, eps 1, 3, 7, 9, 10, 12, 13)</t>
  </si>
  <si>
    <t>Staff Role: Animation Director (eps 4, 6, 7, 13)</t>
  </si>
  <si>
    <t>Staff Role: Animation Director (eps 1, 3, 11)</t>
  </si>
  <si>
    <t>Staff Role: Insert Song Performance "Letter" (ep 14)</t>
  </si>
  <si>
    <t>Staff Role: Insert Song Lyrics "Letter" (ep 14)</t>
  </si>
  <si>
    <t>Staff Role: Accessory Design</t>
  </si>
  <si>
    <t>Staff Role: World Design</t>
  </si>
  <si>
    <t>Staff Role: Storyboard (eps 2, 5)</t>
  </si>
  <si>
    <t>Staff Role: Assistant Producer</t>
  </si>
  <si>
    <t>Staff Role: Storyboard (eps 8, 9)</t>
  </si>
  <si>
    <t>Staff Role: Theme Song Performance (OP, ED2)</t>
  </si>
  <si>
    <t>Staff Role: Theme Song Arrangement (OP, ED1)</t>
  </si>
  <si>
    <t>Staff Role: Theme Song Composition (OP, ED1)</t>
  </si>
  <si>
    <t>Staff Role: Key Animation  (ep 1)</t>
  </si>
  <si>
    <t>Staff Role: Key Animation  (ep 9)</t>
  </si>
  <si>
    <t>Staff Role: Animation Director  (ep 9)</t>
  </si>
  <si>
    <t>Staff Role: Storyboard (eps 7, 11)</t>
  </si>
  <si>
    <t>Staff Role: Key Animation  (ep: 6)</t>
  </si>
  <si>
    <t>Staff Role: Animation Director (OP, ED, ep 13)</t>
  </si>
  <si>
    <t>Staff Role: Theme Song Performance (ED1, ED2)</t>
  </si>
  <si>
    <t>Staff Role: Chief Animation Director (eps 1-11)</t>
  </si>
  <si>
    <t>Staff Role: Theme Song Lyrics (ED1, ED2)</t>
  </si>
  <si>
    <t>Staff Role: Episode Director (eps 1, 9, 13)</t>
  </si>
  <si>
    <t>Staff Role: Storyboard (eps 1, 9, 13)</t>
  </si>
  <si>
    <t>Staff Role: Storyboard (eps 2, 8)</t>
  </si>
  <si>
    <t>Staff Role: Storyboard (eps 6, 12)</t>
  </si>
  <si>
    <t>Staff Role: Animation Director (eps 5-7, 11)</t>
  </si>
  <si>
    <t>Staff Role: Theme Song Lyrics (ED2)</t>
  </si>
  <si>
    <t>Staff Role: Theme Song Arrangement (ED2)</t>
  </si>
  <si>
    <t>Staff Role: Insert Song Composition (ep 9)</t>
  </si>
  <si>
    <t>Staff Role: Insert Song Performance (ep 9)</t>
  </si>
  <si>
    <t>Staff Role: Insert Song Lyrics (ep 9)</t>
  </si>
  <si>
    <t>Staff Role: Insert Song Arrangement (ep 9)</t>
  </si>
  <si>
    <t>Staff Role: Key Animation (eps 2, 7)</t>
  </si>
  <si>
    <t>Staff Role: Mechanical Animation Director (eps 1-5)</t>
  </si>
  <si>
    <t>Staff Role</t>
  </si>
  <si>
    <t>Sorted By:</t>
  </si>
  <si>
    <t>DISTRIBUTION</t>
  </si>
  <si>
    <t>=HYPERLINK("https://anilist.co/staff/118738","Staff: Shizuka</t>
  </si>
  <si>
    <t>=HYPERLINK("https://anilist.co/staff/114371","Staff: Sarah Emi Bridcutt (Insert Song Performance ("Jishozukuri no Uta: We Are Jisho-tans"; ep 4))")</t>
  </si>
  <si>
    <t>=HYPERLINK("https://anilist.co/staff/119959","Staff: Satsumi Matsuda (Insert Song Performance ("Jishozukuri no Uta: We Are Jisho-tans"; ep 4))")</t>
  </si>
  <si>
    <t>=HYPERLINK("https://anilist.co/staff/109251","Staff: You Taichi (Insert Song Performance ("Jishozukuri no Uta: We Are Jisho-tans"; ep 4))")</t>
  </si>
  <si>
    <t>=HYPERLINK("https://anilist.co/staff/109251","Staff: You Taichi (Insert Song Arrangment ("Jishozukuri no Uta: We Are Jisho-tans"; ep 4))")</t>
  </si>
  <si>
    <t>=HYPERLINK("https://anilist.co/staff/126076","Staff: Azuki Shibuya (Insert Song Composition ("Jishozukuri no Uta: We Are Jisho-tans"; ep 4))")</t>
  </si>
  <si>
    <t>=HYPERLINK("https://anilist.co/staff/131806","Staff: Taiiku Okazaki (Insert Song Performance ("Shiokaze"; ep 4))")</t>
  </si>
  <si>
    <t>=HYPERLINK("https://anilist.co/staff/118490","Staff: Miho Karasawa (Insert Song Performance "Letter" (ep 14))")</t>
  </si>
  <si>
    <t>=HYPERLINK("https://anilist.co/staff/118490","Staff: Miho Karasawa (Insert Song Lyrics "Letter" (ep 14))")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</si>
</sst>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47"/>
  <sheetViews>
    <sheetView tabSelected="1" workbookViewId="0">
      <selection activeCell="F5" sqref="F5"/>
    </sheetView>
  </sheetViews>
  <sheetFormatPr defaultRowHeight="15.6" x14ac:dyDescent="0.3"/>
  <cols>
    <col min="1" max="1" width="23.8984375" customWidth="1"/>
    <col min="2" max="2" width="7.3984375" style="5" bestFit="1" customWidth="1"/>
    <col min="3" max="3" width="8" style="9" bestFit="1" customWidth="1"/>
    <col min="4" max="4" width="8.8984375" style="6" bestFit="1" customWidth="1"/>
    <col min="5" max="5" width="16.09765625" style="7" bestFit="1" customWidth="1"/>
    <col min="6" max="6" width="4" customWidth="1"/>
    <col min="7" max="7" width="12.59765625" bestFit="1" customWidth="1"/>
    <col min="8" max="8" width="19.59765625" bestFit="1" customWidth="1"/>
    <col min="9" max="9" width="0.5" customWidth="1"/>
    <col min="11" max="11" width="29.09765625" bestFit="1" customWidth="1"/>
    <col min="12" max="12" width="0.296875" customWidth="1"/>
    <col min="14" max="14" width="42.3984375" bestFit="1" customWidth="1"/>
    <col min="15" max="15" width="0.296875" customWidth="1"/>
    <col min="17" max="17" width="42" bestFit="1" customWidth="1"/>
    <col min="18" max="18" width="0.3984375" customWidth="1"/>
    <col min="20" max="20" width="16.59765625" bestFit="1" customWidth="1"/>
    <col min="21" max="21" width="0.59765625" customWidth="1"/>
    <col min="23" max="23" width="14.19921875" bestFit="1" customWidth="1"/>
    <col min="24" max="24" width="0.69921875" customWidth="1"/>
    <col min="26" max="26" width="15.59765625" bestFit="1" customWidth="1"/>
    <col min="27" max="27" width="0.59765625" customWidth="1"/>
    <col min="29" max="29" width="9.59765625" bestFit="1" customWidth="1"/>
    <col min="30" max="30" width="0.796875" customWidth="1"/>
    <col min="32" max="32" width="43.3984375" customWidth="1"/>
    <col min="33" max="33" width="0.3984375" customWidth="1"/>
    <col min="35" max="35" width="41.69921875" customWidth="1"/>
  </cols>
  <sheetData>
    <row r="1" spans="1:35" x14ac:dyDescent="0.3">
      <c r="A1" t="s">
        <v>461</v>
      </c>
      <c r="B1" s="5" t="s">
        <v>0</v>
      </c>
      <c r="C1" s="9" t="s">
        <v>1</v>
      </c>
      <c r="D1" s="6" t="s">
        <v>458</v>
      </c>
      <c r="E1" s="7" t="s">
        <v>457</v>
      </c>
    </row>
    <row r="2" spans="1:35" x14ac:dyDescent="0.3">
      <c r="A2" t="s">
        <v>262</v>
      </c>
      <c r="B2" s="5">
        <v>74.88</v>
      </c>
      <c r="C2" s="9">
        <v>250</v>
      </c>
      <c r="D2" s="6">
        <v>3.5137034434293703E-2</v>
      </c>
      <c r="E2" s="7">
        <v>2.6310611384399101</v>
      </c>
      <c r="G2" t="s">
        <v>1006</v>
      </c>
    </row>
    <row r="3" spans="1:35" x14ac:dyDescent="0.3">
      <c r="A3" t="s">
        <v>265</v>
      </c>
      <c r="B3" s="5">
        <v>75.353535353535307</v>
      </c>
      <c r="C3" s="9">
        <v>198</v>
      </c>
      <c r="D3" s="6">
        <v>2.78285312719606E-2</v>
      </c>
      <c r="E3" s="7">
        <v>2.09697821503865</v>
      </c>
      <c r="G3" s="4" t="s">
        <v>1005</v>
      </c>
      <c r="H3" t="str" cm="1">
        <f t="array" ref="H3">IF(AND(E2:E1048575&gt;=E3:E1048576),E1&amp;" (desc)",IF(AND(D2:D1048575&gt;=D3:D1048576),D1&amp;" (desc)",IF(AND(C2:C1048575&gt;=C3:C1048576),C1&amp;" (desc)",IF(AND(C2:C1048575&lt;=C3:C1048576),C1&amp;" (asc)",IF(AND(B2:B1048575&gt;=B3:B1048576),B1&amp;" (desc)",IF(AND(A2:A1048575&gt;=A3:A1048576),A1&amp;" (desc)","NULL"))))))</f>
        <v>Weighted Score (desc)</v>
      </c>
      <c r="Q3" s="8"/>
    </row>
    <row r="4" spans="1:35" x14ac:dyDescent="0.3">
      <c r="A4" t="s">
        <v>267</v>
      </c>
      <c r="B4" s="5">
        <v>76.763005780346802</v>
      </c>
      <c r="C4" s="9">
        <v>173</v>
      </c>
      <c r="D4" s="6">
        <v>2.4314827828531199E-2</v>
      </c>
      <c r="E4" s="7">
        <v>1.8664792691496801</v>
      </c>
    </row>
    <row r="5" spans="1:35" x14ac:dyDescent="0.3">
      <c r="A5" t="s">
        <v>264</v>
      </c>
      <c r="B5" s="5">
        <v>75.229357798165097</v>
      </c>
      <c r="C5" s="9">
        <v>109</v>
      </c>
      <c r="D5" s="6">
        <v>1.5319747013352E-2</v>
      </c>
      <c r="E5" s="7">
        <v>1.15249472944483</v>
      </c>
      <c r="G5" s="10" t="s">
        <v>459</v>
      </c>
      <c r="H5" s="10"/>
      <c r="J5" s="10" t="s">
        <v>462</v>
      </c>
      <c r="K5" s="10"/>
      <c r="M5" s="10" t="s">
        <v>463</v>
      </c>
      <c r="N5" s="10"/>
      <c r="P5" s="10" t="s">
        <v>464</v>
      </c>
      <c r="Q5" s="10"/>
      <c r="S5" s="10" t="s">
        <v>465</v>
      </c>
      <c r="T5" s="10"/>
      <c r="V5" s="10" t="s">
        <v>466</v>
      </c>
      <c r="W5" s="10"/>
      <c r="Y5" s="10" t="s">
        <v>467</v>
      </c>
      <c r="Z5" s="10"/>
      <c r="AB5" s="10" t="s">
        <v>469</v>
      </c>
      <c r="AC5" s="10"/>
      <c r="AE5" s="10" t="s">
        <v>468</v>
      </c>
      <c r="AF5" s="10"/>
      <c r="AH5" s="10" t="s">
        <v>1004</v>
      </c>
      <c r="AI5" s="10"/>
    </row>
    <row r="6" spans="1:35" x14ac:dyDescent="0.3">
      <c r="A6" t="s">
        <v>477</v>
      </c>
      <c r="B6" s="5">
        <v>74.400000000000006</v>
      </c>
      <c r="C6" s="9">
        <v>75</v>
      </c>
      <c r="D6" s="6">
        <v>1.05411103302881E-2</v>
      </c>
      <c r="E6" s="7">
        <v>0.78425860857343599</v>
      </c>
      <c r="G6" s="2" t="s">
        <v>460</v>
      </c>
      <c r="H6" s="2" t="str">
        <f>$A$1</f>
        <v>Type</v>
      </c>
      <c r="J6" s="2" t="s">
        <v>460</v>
      </c>
      <c r="K6" s="2" t="str">
        <f>$A$1</f>
        <v>Type</v>
      </c>
      <c r="L6" s="1"/>
      <c r="M6" s="2" t="s">
        <v>460</v>
      </c>
      <c r="N6" s="2" t="str">
        <f>$A$1</f>
        <v>Type</v>
      </c>
      <c r="O6" s="1"/>
      <c r="P6" s="2" t="s">
        <v>460</v>
      </c>
      <c r="Q6" s="2" t="str">
        <f>$A$1</f>
        <v>Type</v>
      </c>
      <c r="S6" s="2" t="s">
        <v>460</v>
      </c>
      <c r="T6" s="2" t="str">
        <f>$A$1</f>
        <v>Type</v>
      </c>
      <c r="V6" s="2" t="s">
        <v>460</v>
      </c>
      <c r="W6" s="2" t="str">
        <f>$A$1</f>
        <v>Type</v>
      </c>
      <c r="Y6" s="2" t="s">
        <v>460</v>
      </c>
      <c r="Z6" s="2" t="str">
        <f>$A$1</f>
        <v>Type</v>
      </c>
      <c r="AB6" s="2" t="s">
        <v>460</v>
      </c>
      <c r="AC6" s="2" t="str">
        <f>$A$1</f>
        <v>Type</v>
      </c>
      <c r="AE6" s="2" t="s">
        <v>460</v>
      </c>
      <c r="AF6" s="2" t="str">
        <f>$A$1</f>
        <v>Type</v>
      </c>
      <c r="AH6" s="2" t="s">
        <v>460</v>
      </c>
      <c r="AI6" s="2" t="str">
        <f>$A$1</f>
        <v>Type</v>
      </c>
    </row>
    <row r="7" spans="1:35" x14ac:dyDescent="0.3">
      <c r="A7" t="s">
        <v>474</v>
      </c>
      <c r="B7" s="5">
        <v>74</v>
      </c>
      <c r="C7" s="9">
        <v>75</v>
      </c>
      <c r="D7" s="6">
        <v>1.05411103302881E-2</v>
      </c>
      <c r="E7" s="7">
        <v>0.78004216444132102</v>
      </c>
      <c r="G7" s="3">
        <f>IF(NOT(ISBLANK(H7)),IF(NOT(ISNUMBER(H6)),1,H6+1),"")</f>
        <v>1</v>
      </c>
      <c r="H7" s="3" t="str" cm="1">
        <f t="array" ref="H7:H22">_xlfn._xlws.FILTER($A$2:$A$1048576,ISNUMBER(SEARCH(G5&amp;": ",$A$2:$A$1048576)))</f>
        <v>Genre: Comedy</v>
      </c>
      <c r="J7" s="3">
        <f>IF(NOT(ISBLANK(K7)),IF(NOT(ISNUMBER(K6)),1,K6+1),"")</f>
        <v>1</v>
      </c>
      <c r="K7" s="3" t="str" cm="1">
        <f t="array" ref="K7:K216">_xlfn._xlws.FILTER($A$2:$A$1048576,ISNUMBER(SEARCH(J5&amp;": ",$A$2:$A$1048576)))</f>
        <v>Tag: Male Protagonist</v>
      </c>
      <c r="M7" s="3">
        <f>IF(NOT(ISBLANK(N7)),IF(NOT(ISNUMBER(N6)),1,N6+1),"")</f>
        <v>1</v>
      </c>
      <c r="N7" s="3" t="str" cm="1">
        <f t="array" ref="N7:N179">_xlfn._xlws.FILTER($A$2:$A$1048576,ISNUMBER(SEARCH(M5&amp;": ",$A$2:$A$1048576)))</f>
        <v>Studio: Aniplex</v>
      </c>
      <c r="P7" s="3">
        <f>IF(NOT(ISBLANK(Q7)),IF(NOT(ISNUMBER(Q6)),1,Q6+1),"")</f>
        <v>1</v>
      </c>
      <c r="Q7" s="3" t="str" cm="1">
        <f t="array" ref="Q7:Q30">_xlfn._xlws.FILTER($A$2:$A$1048576,ISNUMBER(SEARCH(P5&amp;": ",$A$2:$A$1048576)))</f>
        <v>Tag Category: Cast-Traits</v>
      </c>
      <c r="S7" s="3">
        <f>IF(NOT(ISBLANK(T7)),IF(NOT(ISNUMBER(T6)),1,T6+1),"")</f>
        <v>1</v>
      </c>
      <c r="T7" s="3" t="str" cm="1">
        <f t="array" ref="T7:T10">_xlfn._xlws.FILTER($A$2:$A$1048576,ISNUMBER(SEARCH(S5&amp;": ",$A$2:$A$1048576)))</f>
        <v>Format: TV</v>
      </c>
      <c r="V7" s="3">
        <f>IF(NOT(ISBLANK(W7)),IF(NOT(ISNUMBER(W6)),1,W6+1),"")</f>
        <v>1</v>
      </c>
      <c r="W7" s="3" t="str" cm="1">
        <f t="array" ref="W7:W11">_xlfn._xlws.FILTER($A$2:$A$1048576,ISNUMBER(SEARCH(V5&amp;": ",$A$2:$A$1048576)))</f>
        <v>Episode: 7-13</v>
      </c>
      <c r="Y7" s="3">
        <f>IF(NOT(ISBLANK(Z7)),IF(NOT(ISNUMBER(Z6)),1,Z6+1),"")</f>
        <v>1</v>
      </c>
      <c r="Z7" s="3" t="str" cm="1">
        <f t="array" ref="Z7:Z11">_xlfn._xlws.FILTER($A$2:$A$1048576,ISNUMBER(SEARCH(Y5&amp;": ",$A$2:$A$1048576)))</f>
        <v>Season: FALL</v>
      </c>
      <c r="AB7" s="3">
        <f>IF(NOT(ISBLANK(AC7)),IF(NOT(ISNUMBER(AC6)),1,AC6+1),"")</f>
        <v>1</v>
      </c>
      <c r="AC7" s="3" t="str" cm="1">
        <f t="array" ref="AC7:AC25">_xlfn._xlws.FILTER($A$2:$A$1048576,ISNUMBER(SEARCH(AB5&amp;": ",$A$2:$A$1048576)))</f>
        <v>Year: 2018</v>
      </c>
      <c r="AE7" s="3">
        <f>IF(NOT(ISBLANK(AF7)),IF(NOT(ISNUMBER(AF6)),1,AF6+1),"")</f>
        <v>1</v>
      </c>
      <c r="AF7" s="3" t="str" cm="1">
        <f t="array" ref="AF7:AF1663">_xlfn._xlws.FILTER($A$2:$A$1048576,ISNUMBER(SEARCH(AE5&amp;": ",$A$2:$A$1048576)))</f>
        <v>Staff: Jin Aketagawa (Sound Director)</v>
      </c>
      <c r="AH7" s="3">
        <f>IF(NOT(ISBLANK(AI7)),IF(NOT(ISNUMBER(AI6)),1,AI6+1),"")</f>
        <v>1</v>
      </c>
      <c r="AI7" s="3" t="str" cm="1">
        <f t="array" ref="AI7:AI539">_xlfn._xlws.FILTER($A$2:$A$1048576,ISNUMBER(SEARCH(AH5&amp;": ",$A$2:$A$1048576)))</f>
        <v>Staff Role: Director</v>
      </c>
    </row>
    <row r="8" spans="1:35" x14ac:dyDescent="0.3">
      <c r="A8" t="s">
        <v>491</v>
      </c>
      <c r="B8" s="5">
        <v>74.428571428571402</v>
      </c>
      <c r="C8" s="9">
        <v>70</v>
      </c>
      <c r="D8" s="6">
        <v>9.8383696416022397E-3</v>
      </c>
      <c r="E8" s="7">
        <v>0.73225579761068105</v>
      </c>
      <c r="G8" s="3">
        <f t="shared" ref="G8:G22" si="0">IF(NOT(ISBLANK(H8)),IF(NOT(ISNUMBER(G7)),1,G7+1),"")</f>
        <v>2</v>
      </c>
      <c r="H8" s="3" t="str">
        <v>Genre: Slice of Life</v>
      </c>
      <c r="J8" s="3">
        <f t="shared" ref="J8:J22" si="1">IF(NOT(ISBLANK(K8)),IF(NOT(ISNUMBER(J7)),1,J7+1),"")</f>
        <v>2</v>
      </c>
      <c r="K8" s="3" t="str">
        <v>Tag: Female Protagonist</v>
      </c>
      <c r="M8" s="3">
        <f t="shared" ref="M8:M22" si="2">IF(NOT(ISBLANK(N8)),IF(NOT(ISNUMBER(M7)),1,M7+1),"")</f>
        <v>2</v>
      </c>
      <c r="N8" s="3" t="str">
        <v>Studio: Funimation</v>
      </c>
      <c r="P8" s="3">
        <f t="shared" ref="P8:P22" si="3">IF(NOT(ISBLANK(Q8)),IF(NOT(ISNUMBER(P7)),1,P7+1),"")</f>
        <v>2</v>
      </c>
      <c r="Q8" s="3" t="str">
        <v>Tag Category: Cast-Main Cast</v>
      </c>
      <c r="S8" s="3">
        <f t="shared" ref="S8:S22" si="4">IF(NOT(ISBLANK(T8)),IF(NOT(ISNUMBER(S7)),1,S7+1),"")</f>
        <v>2</v>
      </c>
      <c r="T8" s="3" t="str">
        <v>Format: TV_SHORT</v>
      </c>
      <c r="V8" s="3">
        <f t="shared" ref="V8:V22" si="5">IF(NOT(ISBLANK(W8)),IF(NOT(ISNUMBER(V7)),1,V7+1),"")</f>
        <v>2</v>
      </c>
      <c r="W8" s="3" t="str">
        <v>Episode: 14-26</v>
      </c>
      <c r="Y8" s="3">
        <f t="shared" ref="Y8:Y22" si="6">IF(NOT(ISBLANK(Z8)),IF(NOT(ISNUMBER(Y7)),1,Y7+1),"")</f>
        <v>2</v>
      </c>
      <c r="Z8" s="3" t="str">
        <v>Season: SUMMER</v>
      </c>
      <c r="AB8" s="3">
        <f t="shared" ref="AB8:AB22" si="7">IF(NOT(ISBLANK(AC8)),IF(NOT(ISNUMBER(AB7)),1,AB7+1),"")</f>
        <v>2</v>
      </c>
      <c r="AC8" s="3" t="str">
        <v>Year: 2017</v>
      </c>
      <c r="AE8" s="3">
        <f t="shared" ref="AE8:AE22" si="8">IF(NOT(ISBLANK(AF8)),IF(NOT(ISNUMBER(AE7)),1,AE7+1),"")</f>
        <v>2</v>
      </c>
      <c r="AF8" s="3" t="str">
        <v>Staff: Youta Tsuruoka (Sound Director)</v>
      </c>
      <c r="AH8" s="3">
        <f t="shared" ref="AH8:AH71" si="9">IF(NOT(ISBLANK(AI8)),IF(NOT(ISNUMBER(AH7)),1,AH7+1),"")</f>
        <v>2</v>
      </c>
      <c r="AI8" s="3" t="str">
        <v>Staff Role: Character Design</v>
      </c>
    </row>
    <row r="9" spans="1:35" x14ac:dyDescent="0.3">
      <c r="A9" t="s">
        <v>473</v>
      </c>
      <c r="B9" s="5">
        <v>74.057971014492693</v>
      </c>
      <c r="C9" s="9">
        <v>69</v>
      </c>
      <c r="D9" s="6">
        <v>9.69782150386507E-3</v>
      </c>
      <c r="E9" s="7">
        <v>0.71820098383696396</v>
      </c>
      <c r="G9" s="3">
        <f t="shared" si="0"/>
        <v>3</v>
      </c>
      <c r="H9" s="3" t="str">
        <v>Genre: Romance</v>
      </c>
      <c r="J9" s="3">
        <f t="shared" si="1"/>
        <v>3</v>
      </c>
      <c r="K9" s="3" t="str">
        <v>Tag: Episodic</v>
      </c>
      <c r="M9" s="3">
        <f t="shared" si="2"/>
        <v>3</v>
      </c>
      <c r="N9" s="3" t="str">
        <v>Studio: AT-X</v>
      </c>
      <c r="P9" s="3">
        <f t="shared" si="3"/>
        <v>3</v>
      </c>
      <c r="Q9" s="3" t="str">
        <v>Tag Category: Theme-Other</v>
      </c>
      <c r="S9" s="3">
        <f t="shared" si="4"/>
        <v>3</v>
      </c>
      <c r="T9" s="3" t="str">
        <v>Format: MOVIE</v>
      </c>
      <c r="V9" s="3">
        <f t="shared" si="5"/>
        <v>3</v>
      </c>
      <c r="W9" s="3" t="str">
        <v>Episode: 1</v>
      </c>
      <c r="Y9" s="3">
        <f t="shared" si="6"/>
        <v>3</v>
      </c>
      <c r="Z9" s="3" t="str">
        <v>Season: SPRING</v>
      </c>
      <c r="AB9" s="3">
        <f t="shared" si="7"/>
        <v>3</v>
      </c>
      <c r="AC9" s="3" t="str">
        <v>Year: 2016</v>
      </c>
      <c r="AE9" s="3">
        <f t="shared" si="8"/>
        <v>3</v>
      </c>
      <c r="AF9" s="3" t="str">
        <v>Staff: Kenichirou Suehiro (Music)</v>
      </c>
      <c r="AH9" s="3">
        <f t="shared" si="9"/>
        <v>3</v>
      </c>
      <c r="AI9" s="3" t="str">
        <v>Staff Role: Producer</v>
      </c>
    </row>
    <row r="10" spans="1:35" x14ac:dyDescent="0.3">
      <c r="A10" t="s">
        <v>2</v>
      </c>
      <c r="B10" s="5">
        <v>75</v>
      </c>
      <c r="C10" s="9">
        <v>66</v>
      </c>
      <c r="D10" s="6">
        <v>9.2761770906535403E-3</v>
      </c>
      <c r="E10" s="7">
        <v>0.69571328179901604</v>
      </c>
      <c r="G10" s="3">
        <f t="shared" si="0"/>
        <v>4</v>
      </c>
      <c r="H10" s="3" t="str">
        <v>Genre: Action</v>
      </c>
      <c r="J10" s="3">
        <f t="shared" si="1"/>
        <v>4</v>
      </c>
      <c r="K10" s="3" t="str">
        <v>Tag: Ensemble Cast</v>
      </c>
      <c r="M10" s="3">
        <f t="shared" si="2"/>
        <v>4</v>
      </c>
      <c r="N10" s="3" t="str">
        <v>Studio: Sentai Filmworks</v>
      </c>
      <c r="P10" s="3">
        <f t="shared" si="3"/>
        <v>4</v>
      </c>
      <c r="Q10" s="3" t="str">
        <v>Tag Category: Setting-Scene</v>
      </c>
      <c r="S10" s="3">
        <f t="shared" si="4"/>
        <v>4</v>
      </c>
      <c r="T10" s="3" t="str">
        <v>Format: ONA</v>
      </c>
      <c r="V10" s="3">
        <f t="shared" si="5"/>
        <v>4</v>
      </c>
      <c r="W10" s="3" t="str">
        <v>Episode: 101+</v>
      </c>
      <c r="Y10" s="3">
        <f t="shared" si="6"/>
        <v>4</v>
      </c>
      <c r="Z10" s="3" t="str">
        <v>Season: WINTER</v>
      </c>
      <c r="AB10" s="3">
        <f t="shared" si="7"/>
        <v>4</v>
      </c>
      <c r="AC10" s="3" t="str">
        <v>Year: 2020</v>
      </c>
      <c r="AE10" s="3">
        <f t="shared" si="8"/>
        <v>4</v>
      </c>
      <c r="AF10" s="3" t="str">
        <v>Staff: Masanori Tsuchiya (Sound Director)</v>
      </c>
      <c r="AH10" s="3">
        <f t="shared" si="9"/>
        <v>4</v>
      </c>
      <c r="AI10" s="3" t="str">
        <v>Staff Role: Music</v>
      </c>
    </row>
    <row r="11" spans="1:35" x14ac:dyDescent="0.3">
      <c r="A11" t="s">
        <v>6</v>
      </c>
      <c r="B11" s="5">
        <v>73.8805970149253</v>
      </c>
      <c r="C11" s="9">
        <v>67</v>
      </c>
      <c r="D11" s="6">
        <v>9.4167252283907203E-3</v>
      </c>
      <c r="E11" s="7">
        <v>0.69571328179901604</v>
      </c>
      <c r="G11" s="3">
        <f t="shared" si="0"/>
        <v>5</v>
      </c>
      <c r="H11" s="3" t="str">
        <v>Genre: Drama</v>
      </c>
      <c r="J11" s="3">
        <f t="shared" si="1"/>
        <v>5</v>
      </c>
      <c r="K11" s="3" t="str">
        <v>Tag: School</v>
      </c>
      <c r="M11" s="3">
        <f t="shared" si="2"/>
        <v>5</v>
      </c>
      <c r="N11" s="3" t="str">
        <v>Studio: TV Tokyo</v>
      </c>
      <c r="P11" s="3">
        <f t="shared" si="3"/>
        <v>5</v>
      </c>
      <c r="Q11" s="3" t="str">
        <v>Tag Category: Theme-Comedy</v>
      </c>
      <c r="S11" s="3" t="str">
        <f t="shared" si="4"/>
        <v/>
      </c>
      <c r="T11" s="3"/>
      <c r="V11" s="3">
        <f t="shared" si="5"/>
        <v>5</v>
      </c>
      <c r="W11" s="3" t="str">
        <v>Episode: 53-100</v>
      </c>
      <c r="Y11" s="3">
        <f t="shared" si="6"/>
        <v>5</v>
      </c>
      <c r="Z11" s="3" t="str">
        <v>Season: null</v>
      </c>
      <c r="AB11" s="3">
        <f t="shared" si="7"/>
        <v>5</v>
      </c>
      <c r="AC11" s="3" t="str">
        <v>Year: 2014</v>
      </c>
      <c r="AE11" s="3">
        <f t="shared" si="8"/>
        <v>5</v>
      </c>
      <c r="AF11" s="3" t="str">
        <v>Staff: Takashi Aoshima (Series Composition)</v>
      </c>
      <c r="AH11" s="3">
        <f t="shared" si="9"/>
        <v>5</v>
      </c>
      <c r="AI11" s="3" t="str">
        <v>Staff Role: Original Creator</v>
      </c>
    </row>
    <row r="12" spans="1:35" x14ac:dyDescent="0.3">
      <c r="A12" t="s">
        <v>472</v>
      </c>
      <c r="B12" s="5">
        <v>74.677419354838705</v>
      </c>
      <c r="C12" s="9">
        <v>62</v>
      </c>
      <c r="D12" s="6">
        <v>8.7139845397048495E-3</v>
      </c>
      <c r="E12" s="7">
        <v>0.65073787772311997</v>
      </c>
      <c r="G12" s="3">
        <f t="shared" si="0"/>
        <v>6</v>
      </c>
      <c r="H12" s="3" t="str">
        <v>Genre: Fantasy</v>
      </c>
      <c r="J12" s="3">
        <f t="shared" si="1"/>
        <v>6</v>
      </c>
      <c r="K12" s="3" t="str">
        <v>Tag: Seinen</v>
      </c>
      <c r="M12" s="3">
        <f t="shared" si="2"/>
        <v>6</v>
      </c>
      <c r="N12" s="3" t="str">
        <v>Studio: Lantis</v>
      </c>
      <c r="P12" s="3">
        <f t="shared" si="3"/>
        <v>6</v>
      </c>
      <c r="Q12" s="3" t="str">
        <v>Tag Category: Theme-Drama</v>
      </c>
      <c r="S12" s="3" t="str">
        <f t="shared" si="4"/>
        <v/>
      </c>
      <c r="T12" s="3"/>
      <c r="V12" s="3" t="str">
        <f t="shared" si="5"/>
        <v/>
      </c>
      <c r="W12" s="3"/>
      <c r="Y12" s="3" t="str">
        <f t="shared" si="6"/>
        <v/>
      </c>
      <c r="Z12" s="3"/>
      <c r="AB12" s="3">
        <f t="shared" si="7"/>
        <v>6</v>
      </c>
      <c r="AC12" s="3" t="str">
        <v>Year: 2015</v>
      </c>
      <c r="AE12" s="3">
        <f t="shared" si="8"/>
        <v>6</v>
      </c>
      <c r="AF12" s="3" t="str">
        <v>Staff: Masakazu Miyake (Art Director)</v>
      </c>
      <c r="AH12" s="3">
        <f t="shared" si="9"/>
        <v>6</v>
      </c>
      <c r="AI12" s="3" t="str">
        <v>Staff Role: Series Composition</v>
      </c>
    </row>
    <row r="13" spans="1:35" x14ac:dyDescent="0.3">
      <c r="A13" t="s">
        <v>263</v>
      </c>
      <c r="B13" s="5">
        <v>76.6666666666666</v>
      </c>
      <c r="C13" s="9">
        <v>60</v>
      </c>
      <c r="D13" s="6">
        <v>8.4328882642304998E-3</v>
      </c>
      <c r="E13" s="7">
        <v>0.646521433591005</v>
      </c>
      <c r="G13" s="3">
        <f t="shared" si="0"/>
        <v>7</v>
      </c>
      <c r="H13" s="3" t="str">
        <v>Genre: Supernatural</v>
      </c>
      <c r="J13" s="3">
        <f t="shared" si="1"/>
        <v>7</v>
      </c>
      <c r="K13" s="3" t="str">
        <v>Tag: Kuudere</v>
      </c>
      <c r="M13" s="3">
        <f t="shared" si="2"/>
        <v>7</v>
      </c>
      <c r="N13" s="3" t="str">
        <v>Studio: Pony Canyon</v>
      </c>
      <c r="P13" s="3">
        <f t="shared" si="3"/>
        <v>7</v>
      </c>
      <c r="Q13" s="3" t="str">
        <v>Tag Category: Theme-Fantasy</v>
      </c>
      <c r="S13" s="3" t="str">
        <f t="shared" si="4"/>
        <v/>
      </c>
      <c r="T13" s="3"/>
      <c r="V13" s="3" t="str">
        <f t="shared" si="5"/>
        <v/>
      </c>
      <c r="W13" s="3"/>
      <c r="Y13" s="3" t="str">
        <f t="shared" si="6"/>
        <v/>
      </c>
      <c r="Z13" s="3"/>
      <c r="AB13" s="3">
        <f t="shared" si="7"/>
        <v>7</v>
      </c>
      <c r="AC13" s="3" t="str">
        <v>Year: 2019</v>
      </c>
      <c r="AE13" s="3">
        <f t="shared" si="8"/>
        <v>7</v>
      </c>
      <c r="AF13" s="3" t="str">
        <v>Staff: Satoshi Motoyama (Sound Director)</v>
      </c>
      <c r="AH13" s="3">
        <f t="shared" si="9"/>
        <v>7</v>
      </c>
      <c r="AI13" s="3" t="str">
        <v>Staff Role: Sound Director</v>
      </c>
    </row>
    <row r="14" spans="1:35" x14ac:dyDescent="0.3">
      <c r="A14" t="s">
        <v>476</v>
      </c>
      <c r="B14" s="5">
        <v>73.8333333333333</v>
      </c>
      <c r="C14" s="9">
        <v>60</v>
      </c>
      <c r="D14" s="6">
        <v>8.4328882642304998E-3</v>
      </c>
      <c r="E14" s="7">
        <v>0.62262825017568502</v>
      </c>
      <c r="G14" s="3">
        <f t="shared" si="0"/>
        <v>8</v>
      </c>
      <c r="H14" s="3" t="str">
        <v>Genre: Adventure</v>
      </c>
      <c r="J14" s="3">
        <f t="shared" si="1"/>
        <v>8</v>
      </c>
      <c r="K14" s="3" t="str">
        <v>Tag: Heterosexual</v>
      </c>
      <c r="M14" s="3">
        <f t="shared" si="2"/>
        <v>8</v>
      </c>
      <c r="N14" s="3" t="str">
        <v>Studio: Kodansha</v>
      </c>
      <c r="P14" s="3">
        <f t="shared" si="3"/>
        <v>8</v>
      </c>
      <c r="Q14" s="3" t="str">
        <v>Tag Category: Demographic</v>
      </c>
      <c r="S14" s="3" t="str">
        <f t="shared" si="4"/>
        <v/>
      </c>
      <c r="T14" s="3"/>
      <c r="V14" s="3" t="str">
        <f t="shared" si="5"/>
        <v/>
      </c>
      <c r="W14" s="3"/>
      <c r="Y14" s="3" t="str">
        <f t="shared" si="6"/>
        <v/>
      </c>
      <c r="Z14" s="3"/>
      <c r="AB14" s="3">
        <f t="shared" si="7"/>
        <v>8</v>
      </c>
      <c r="AC14" s="3" t="str">
        <v>Year: 2022</v>
      </c>
      <c r="AE14" s="3">
        <f t="shared" si="8"/>
        <v>8</v>
      </c>
      <c r="AF14" s="3" t="str">
        <v>Staff: Yasunori Ebina (Sound Director)</v>
      </c>
      <c r="AH14" s="3">
        <f t="shared" si="9"/>
        <v>8</v>
      </c>
      <c r="AI14" s="3" t="str">
        <v>Staff Role: Planning</v>
      </c>
    </row>
    <row r="15" spans="1:35" x14ac:dyDescent="0.3">
      <c r="A15" t="s">
        <v>272</v>
      </c>
      <c r="B15" s="5">
        <v>74.915254237288096</v>
      </c>
      <c r="C15" s="9">
        <v>59</v>
      </c>
      <c r="D15" s="6">
        <v>8.2923401264933198E-3</v>
      </c>
      <c r="E15" s="7">
        <v>0.62122276879831295</v>
      </c>
      <c r="G15" s="3">
        <f t="shared" si="0"/>
        <v>9</v>
      </c>
      <c r="H15" s="3" t="str">
        <v>Genre: Sci-Fi</v>
      </c>
      <c r="J15" s="3">
        <f t="shared" si="1"/>
        <v>9</v>
      </c>
      <c r="K15" s="3" t="str">
        <v>Tag: Slapstick</v>
      </c>
      <c r="M15" s="3">
        <f t="shared" si="2"/>
        <v>9</v>
      </c>
      <c r="N15" s="3" t="str">
        <v>Studio: Doga Kobo</v>
      </c>
      <c r="P15" s="3">
        <f t="shared" si="3"/>
        <v>9</v>
      </c>
      <c r="Q15" s="3" t="str">
        <v>Tag Category: Technical</v>
      </c>
      <c r="S15" s="3" t="str">
        <f t="shared" si="4"/>
        <v/>
      </c>
      <c r="T15" s="3"/>
      <c r="V15" s="3" t="str">
        <f t="shared" si="5"/>
        <v/>
      </c>
      <c r="W15" s="3"/>
      <c r="Y15" s="3" t="str">
        <f t="shared" si="6"/>
        <v/>
      </c>
      <c r="Z15" s="3"/>
      <c r="AB15" s="3">
        <f t="shared" si="7"/>
        <v>9</v>
      </c>
      <c r="AC15" s="3" t="str">
        <v>Year: 2011</v>
      </c>
      <c r="AE15" s="3">
        <f t="shared" si="8"/>
        <v>9</v>
      </c>
      <c r="AF15" s="3" t="str">
        <v>Staff: Shinji Takamatsu (Director)</v>
      </c>
      <c r="AH15" s="3">
        <f t="shared" si="9"/>
        <v>9</v>
      </c>
      <c r="AI15" s="3" t="str">
        <v>Staff Role: Art Director</v>
      </c>
    </row>
    <row r="16" spans="1:35" x14ac:dyDescent="0.3">
      <c r="A16" t="s">
        <v>282</v>
      </c>
      <c r="B16" s="5">
        <v>74.745762711864401</v>
      </c>
      <c r="C16" s="9">
        <v>59</v>
      </c>
      <c r="D16" s="6">
        <v>8.2923401264933198E-3</v>
      </c>
      <c r="E16" s="7">
        <v>0.619817287420941</v>
      </c>
      <c r="G16" s="3">
        <f t="shared" si="0"/>
        <v>10</v>
      </c>
      <c r="H16" s="3" t="str">
        <v>Genre: Mystery</v>
      </c>
      <c r="J16" s="3">
        <f t="shared" si="1"/>
        <v>10</v>
      </c>
      <c r="K16" s="3" t="str">
        <v>Tag: Shounen</v>
      </c>
      <c r="M16" s="3">
        <f t="shared" si="2"/>
        <v>10</v>
      </c>
      <c r="N16" s="3" t="str">
        <v>Studio: A-1 Pictures</v>
      </c>
      <c r="P16" s="3">
        <f t="shared" si="3"/>
        <v>10</v>
      </c>
      <c r="Q16" s="3" t="str">
        <v>Tag Category: Theme-Slice of Life</v>
      </c>
      <c r="S16" s="3" t="str">
        <f t="shared" si="4"/>
        <v/>
      </c>
      <c r="T16" s="3"/>
      <c r="V16" s="3" t="str">
        <f t="shared" si="5"/>
        <v/>
      </c>
      <c r="W16" s="3"/>
      <c r="Y16" s="3" t="str">
        <f t="shared" si="6"/>
        <v/>
      </c>
      <c r="Z16" s="3"/>
      <c r="AB16" s="3">
        <f t="shared" si="7"/>
        <v>10</v>
      </c>
      <c r="AC16" s="3" t="str">
        <v>Year: 2007</v>
      </c>
      <c r="AE16" s="3">
        <f t="shared" si="8"/>
        <v>10</v>
      </c>
      <c r="AF16" s="3" t="str">
        <v>Staff: Toshio Nakatani (Producer)</v>
      </c>
      <c r="AH16" s="3">
        <f t="shared" si="9"/>
        <v>10</v>
      </c>
      <c r="AI16" s="3" t="str">
        <v>Staff Role: Theme Song Performance (OP)</v>
      </c>
    </row>
    <row r="17" spans="1:35" x14ac:dyDescent="0.3">
      <c r="A17" t="s">
        <v>488</v>
      </c>
      <c r="B17" s="5">
        <v>73.965517241379303</v>
      </c>
      <c r="C17" s="9">
        <v>58</v>
      </c>
      <c r="D17" s="6">
        <v>8.1517919887561501E-3</v>
      </c>
      <c r="E17" s="7">
        <v>0.60295151089248</v>
      </c>
      <c r="G17" s="3">
        <f t="shared" si="0"/>
        <v>11</v>
      </c>
      <c r="H17" s="3" t="str">
        <v>Genre: Psychological</v>
      </c>
      <c r="J17" s="3">
        <f t="shared" si="1"/>
        <v>11</v>
      </c>
      <c r="K17" s="3" t="str">
        <v>Tag: Primarily Female Cast</v>
      </c>
      <c r="M17" s="3">
        <f t="shared" si="2"/>
        <v>11</v>
      </c>
      <c r="N17" s="3" t="str">
        <v>Studio: Madman Entertainment</v>
      </c>
      <c r="P17" s="3">
        <f t="shared" si="3"/>
        <v>11</v>
      </c>
      <c r="Q17" s="3" t="str">
        <v>Tag Category: Theme-Romance</v>
      </c>
      <c r="S17" s="3" t="str">
        <f t="shared" si="4"/>
        <v/>
      </c>
      <c r="T17" s="3"/>
      <c r="V17" s="3" t="str">
        <f t="shared" si="5"/>
        <v/>
      </c>
      <c r="W17" s="3"/>
      <c r="Y17" s="3" t="str">
        <f t="shared" si="6"/>
        <v/>
      </c>
      <c r="Z17" s="3"/>
      <c r="AB17" s="3">
        <f t="shared" si="7"/>
        <v>11</v>
      </c>
      <c r="AC17" s="3" t="str">
        <v>Year: 2009</v>
      </c>
      <c r="AE17" s="3">
        <f t="shared" si="8"/>
        <v>11</v>
      </c>
      <c r="AF17" s="3" t="str">
        <v>Staff: Yoshikazu Iwanami (Sound Director)</v>
      </c>
      <c r="AH17" s="3">
        <f t="shared" si="9"/>
        <v>11</v>
      </c>
      <c r="AI17" s="3" t="str">
        <v>Staff Role: Theme Song Performance (ED)</v>
      </c>
    </row>
    <row r="18" spans="1:35" x14ac:dyDescent="0.3">
      <c r="A18" t="s">
        <v>529</v>
      </c>
      <c r="B18" s="5">
        <v>77.2222222222222</v>
      </c>
      <c r="C18" s="9">
        <v>54</v>
      </c>
      <c r="D18" s="6">
        <v>7.5895994378074403E-3</v>
      </c>
      <c r="E18" s="7">
        <v>0.58608573436401901</v>
      </c>
      <c r="G18" s="3">
        <f t="shared" si="0"/>
        <v>12</v>
      </c>
      <c r="H18" s="3" t="str">
        <v>Genre: Ecchi</v>
      </c>
      <c r="J18" s="3">
        <f t="shared" si="1"/>
        <v>12</v>
      </c>
      <c r="K18" s="3" t="str">
        <v>Tag: Urban</v>
      </c>
      <c r="M18" s="3">
        <f t="shared" si="2"/>
        <v>12</v>
      </c>
      <c r="N18" s="3" t="str">
        <v>Studio: Magic Capsule</v>
      </c>
      <c r="P18" s="3">
        <f t="shared" si="3"/>
        <v>12</v>
      </c>
      <c r="Q18" s="3" t="str">
        <v>Tag Category: Theme-Action</v>
      </c>
      <c r="S18" s="3" t="str">
        <f t="shared" si="4"/>
        <v/>
      </c>
      <c r="T18" s="3"/>
      <c r="V18" s="3" t="str">
        <f t="shared" si="5"/>
        <v/>
      </c>
      <c r="W18" s="3"/>
      <c r="Y18" s="3" t="str">
        <f t="shared" si="6"/>
        <v/>
      </c>
      <c r="Z18" s="3"/>
      <c r="AB18" s="3">
        <f t="shared" si="7"/>
        <v>12</v>
      </c>
      <c r="AC18" s="3" t="str">
        <v>Year: 2021</v>
      </c>
      <c r="AE18" s="3">
        <f t="shared" si="8"/>
        <v>12</v>
      </c>
      <c r="AF18" s="3" t="str">
        <v>Staff: Fumihiko Shimo (Series Composition)</v>
      </c>
      <c r="AH18" s="3">
        <f t="shared" si="9"/>
        <v>12</v>
      </c>
      <c r="AI18" s="3" t="str">
        <v>Staff Role: Color Design</v>
      </c>
    </row>
    <row r="19" spans="1:35" x14ac:dyDescent="0.3">
      <c r="A19" t="s">
        <v>36</v>
      </c>
      <c r="B19" s="5">
        <v>74.285714285714207</v>
      </c>
      <c r="C19" s="9">
        <v>56</v>
      </c>
      <c r="D19" s="6">
        <v>7.87069571328179E-3</v>
      </c>
      <c r="E19" s="7">
        <v>0.58468025298664705</v>
      </c>
      <c r="G19" s="3">
        <f t="shared" si="0"/>
        <v>13</v>
      </c>
      <c r="H19" s="3" t="str">
        <v>Genre: Sports</v>
      </c>
      <c r="J19" s="3">
        <f t="shared" si="1"/>
        <v>13</v>
      </c>
      <c r="K19" s="3" t="str">
        <v>Tag: Tragedy</v>
      </c>
      <c r="M19" s="3">
        <f t="shared" si="2"/>
        <v>13</v>
      </c>
      <c r="N19" s="3" t="str">
        <v>Studio: Dentsu</v>
      </c>
      <c r="P19" s="3">
        <f t="shared" si="3"/>
        <v>13</v>
      </c>
      <c r="Q19" s="3" t="str">
        <v>Tag Category: Setting-Universe</v>
      </c>
      <c r="S19" s="3" t="str">
        <f t="shared" si="4"/>
        <v/>
      </c>
      <c r="T19" s="3"/>
      <c r="V19" s="3" t="str">
        <f t="shared" si="5"/>
        <v/>
      </c>
      <c r="W19" s="3"/>
      <c r="Y19" s="3" t="str">
        <f t="shared" si="6"/>
        <v/>
      </c>
      <c r="Z19" s="3"/>
      <c r="AB19" s="3">
        <f t="shared" si="7"/>
        <v>13</v>
      </c>
      <c r="AC19" s="3" t="str">
        <v>Year: 2010</v>
      </c>
      <c r="AE19" s="3">
        <f t="shared" si="8"/>
        <v>13</v>
      </c>
      <c r="AF19" s="3" t="str">
        <v>Staff: Yasuhiro Misawa (Music)</v>
      </c>
      <c r="AH19" s="3">
        <f t="shared" si="9"/>
        <v>13</v>
      </c>
      <c r="AI19" s="3" t="str">
        <v>Staff Role: Director of Photography</v>
      </c>
    </row>
    <row r="20" spans="1:35" x14ac:dyDescent="0.3">
      <c r="A20" t="s">
        <v>484</v>
      </c>
      <c r="B20" s="5">
        <v>74.528301886792406</v>
      </c>
      <c r="C20" s="9">
        <v>53</v>
      </c>
      <c r="D20" s="6">
        <v>7.4490513000702698E-3</v>
      </c>
      <c r="E20" s="7">
        <v>0.55516514406184103</v>
      </c>
      <c r="G20" s="3">
        <f t="shared" si="0"/>
        <v>14</v>
      </c>
      <c r="H20" s="3" t="str">
        <v>Genre: Thriller</v>
      </c>
      <c r="J20" s="3">
        <f t="shared" si="1"/>
        <v>14</v>
      </c>
      <c r="K20" s="3" t="str">
        <v>Tag: Cute Girls Doing Cute Things</v>
      </c>
      <c r="M20" s="3">
        <f t="shared" si="2"/>
        <v>14</v>
      </c>
      <c r="N20" s="3" t="str">
        <v>Studio: MADHOUSE</v>
      </c>
      <c r="P20" s="3">
        <f t="shared" si="3"/>
        <v>14</v>
      </c>
      <c r="Q20" s="3" t="str">
        <v>Tag Category: Theme-Other-Organisations</v>
      </c>
      <c r="S20" s="3" t="str">
        <f t="shared" si="4"/>
        <v/>
      </c>
      <c r="T20" s="3"/>
      <c r="V20" s="3" t="str">
        <f t="shared" si="5"/>
        <v/>
      </c>
      <c r="W20" s="3"/>
      <c r="Y20" s="3" t="str">
        <f t="shared" si="6"/>
        <v/>
      </c>
      <c r="Z20" s="3"/>
      <c r="AB20" s="3">
        <f t="shared" si="7"/>
        <v>14</v>
      </c>
      <c r="AC20" s="3" t="str">
        <v>Year: 2006</v>
      </c>
      <c r="AE20" s="3">
        <f t="shared" si="8"/>
        <v>14</v>
      </c>
      <c r="AF20" s="3" t="str">
        <v>Staff: Kei Ishiguro (Color Design)</v>
      </c>
      <c r="AH20" s="3">
        <f t="shared" si="9"/>
        <v>14</v>
      </c>
      <c r="AI20" s="3" t="str">
        <v>Staff Role: Editing</v>
      </c>
    </row>
    <row r="21" spans="1:35" x14ac:dyDescent="0.3">
      <c r="A21" t="s">
        <v>492</v>
      </c>
      <c r="B21" s="5">
        <v>72.7777777777777</v>
      </c>
      <c r="C21" s="9">
        <v>54</v>
      </c>
      <c r="D21" s="6">
        <v>7.5895994378074403E-3</v>
      </c>
      <c r="E21" s="7">
        <v>0.55235418130709701</v>
      </c>
      <c r="G21" s="3">
        <f t="shared" si="0"/>
        <v>15</v>
      </c>
      <c r="H21" s="3" t="str">
        <v>Genre: Horror</v>
      </c>
      <c r="J21" s="3">
        <f t="shared" si="1"/>
        <v>15</v>
      </c>
      <c r="K21" s="3" t="str">
        <v>Tag: Primarily Teen Cast</v>
      </c>
      <c r="M21" s="3">
        <f t="shared" si="2"/>
        <v>15</v>
      </c>
      <c r="N21" s="3" t="str">
        <v>Studio: Rakuonsha</v>
      </c>
      <c r="P21" s="3">
        <f t="shared" si="3"/>
        <v>15</v>
      </c>
      <c r="Q21" s="3" t="str">
        <v>Tag Category: Theme-Game-Sport</v>
      </c>
      <c r="S21" s="3" t="str">
        <f t="shared" si="4"/>
        <v/>
      </c>
      <c r="T21" s="3"/>
      <c r="V21" s="3" t="str">
        <f t="shared" si="5"/>
        <v/>
      </c>
      <c r="W21" s="3"/>
      <c r="Y21" s="3" t="str">
        <f t="shared" si="6"/>
        <v/>
      </c>
      <c r="Z21" s="3"/>
      <c r="AB21" s="3">
        <f t="shared" si="7"/>
        <v>15</v>
      </c>
      <c r="AC21" s="3" t="str">
        <v>Year: 2008</v>
      </c>
      <c r="AE21" s="3">
        <f t="shared" si="8"/>
        <v>15</v>
      </c>
      <c r="AF21" s="3" t="str">
        <v>Staff: Yoshimasa Hiraike (Director)</v>
      </c>
      <c r="AH21" s="3">
        <f t="shared" si="9"/>
        <v>15</v>
      </c>
      <c r="AI21" s="3" t="str">
        <v>Staff Role: Art Design</v>
      </c>
    </row>
    <row r="22" spans="1:35" x14ac:dyDescent="0.3">
      <c r="A22" t="s">
        <v>269</v>
      </c>
      <c r="B22" s="5">
        <v>75</v>
      </c>
      <c r="C22" s="9">
        <v>52</v>
      </c>
      <c r="D22" s="6">
        <v>7.3085031623330897E-3</v>
      </c>
      <c r="E22" s="7">
        <v>0.54813773717498204</v>
      </c>
      <c r="G22" s="3">
        <f t="shared" si="0"/>
        <v>16</v>
      </c>
      <c r="H22" s="3" t="str">
        <v>Genre: Music</v>
      </c>
      <c r="J22" s="3">
        <f t="shared" si="1"/>
        <v>16</v>
      </c>
      <c r="K22" s="3" t="str">
        <v>Tag: Tsundere</v>
      </c>
      <c r="M22" s="3">
        <f t="shared" si="2"/>
        <v>16</v>
      </c>
      <c r="N22" s="3" t="str">
        <v>Studio: Kadokawa Media House</v>
      </c>
      <c r="P22" s="3">
        <f t="shared" si="3"/>
        <v>16</v>
      </c>
      <c r="Q22" s="3" t="str">
        <v>Tag Category: Setting-Time</v>
      </c>
      <c r="S22" s="3" t="str">
        <f t="shared" si="4"/>
        <v/>
      </c>
      <c r="T22" s="3"/>
      <c r="V22" s="3" t="str">
        <f t="shared" si="5"/>
        <v/>
      </c>
      <c r="W22" s="3"/>
      <c r="Y22" s="3" t="str">
        <f t="shared" si="6"/>
        <v/>
      </c>
      <c r="Z22" s="3"/>
      <c r="AB22" s="3">
        <f t="shared" si="7"/>
        <v>16</v>
      </c>
      <c r="AC22" s="3" t="str">
        <v>Year: 2012</v>
      </c>
      <c r="AE22" s="3">
        <f t="shared" si="8"/>
        <v>16</v>
      </c>
      <c r="AF22" s="3" t="str">
        <v>Staff: Kazuyuki Fudeyasu (Series Composition)</v>
      </c>
      <c r="AH22" s="3">
        <f t="shared" si="9"/>
        <v>16</v>
      </c>
      <c r="AI22" s="3" t="str">
        <v>Staff Role: Script</v>
      </c>
    </row>
    <row r="23" spans="1:35" x14ac:dyDescent="0.3">
      <c r="A23" t="s">
        <v>493</v>
      </c>
      <c r="B23" s="5">
        <v>74.782608695652101</v>
      </c>
      <c r="C23" s="9">
        <v>46</v>
      </c>
      <c r="D23" s="6">
        <v>6.4652143359100397E-3</v>
      </c>
      <c r="E23" s="7">
        <v>0.48348559381588102</v>
      </c>
      <c r="G23" s="3" t="str">
        <f t="shared" ref="G23:G86" si="10">IF(NOT(ISBLANK(H23)),IF(NOT(ISNUMBER(G22)),1,G22+1),"")</f>
        <v/>
      </c>
      <c r="H23" s="3"/>
      <c r="J23" s="3">
        <f t="shared" ref="J23:J86" si="11">IF(NOT(ISBLANK(K23)),IF(NOT(ISNUMBER(J22)),1,J22+1),"")</f>
        <v>17</v>
      </c>
      <c r="K23" s="3" t="str">
        <v>Tag: Primarily Adult Cast</v>
      </c>
      <c r="M23" s="3">
        <f t="shared" ref="M23:M86" si="12">IF(NOT(ISBLANK(N23)),IF(NOT(ISNUMBER(M22)),1,M22+1),"")</f>
        <v>17</v>
      </c>
      <c r="N23" s="3" t="str">
        <v>Studio: Media Factory</v>
      </c>
      <c r="P23" s="3">
        <f t="shared" ref="P23:P86" si="13">IF(NOT(ISBLANK(Q23)),IF(NOT(ISNUMBER(P22)),1,P22+1),"")</f>
        <v>17</v>
      </c>
      <c r="Q23" s="3" t="str">
        <v>Tag Category: Theme-Arts</v>
      </c>
      <c r="S23" s="3" t="str">
        <f t="shared" ref="S23:S86" si="14">IF(NOT(ISBLANK(T23)),IF(NOT(ISNUMBER(S22)),1,S22+1),"")</f>
        <v/>
      </c>
      <c r="T23" s="3"/>
      <c r="V23" s="3" t="str">
        <f t="shared" ref="V23:V86" si="15">IF(NOT(ISBLANK(W23)),IF(NOT(ISNUMBER(V22)),1,V22+1),"")</f>
        <v/>
      </c>
      <c r="W23" s="3"/>
      <c r="Y23" s="3" t="str">
        <f t="shared" ref="Y23:Y86" si="16">IF(NOT(ISBLANK(Z23)),IF(NOT(ISNUMBER(Y22)),1,Y22+1),"")</f>
        <v/>
      </c>
      <c r="Z23" s="3"/>
      <c r="AB23" s="3">
        <f t="shared" ref="AB23:AB86" si="17">IF(NOT(ISBLANK(AC23)),IF(NOT(ISNUMBER(AB22)),1,AB22+1),"")</f>
        <v>17</v>
      </c>
      <c r="AC23" s="3" t="str">
        <v>Year: 2002</v>
      </c>
      <c r="AE23" s="3">
        <f t="shared" ref="AE23:AE86" si="18">IF(NOT(ISBLANK(AF23)),IF(NOT(ISNUMBER(AE22)),1,AE22+1),"")</f>
        <v>17</v>
      </c>
      <c r="AF23" s="3" t="str">
        <v>Staff: Masahiko Oota (Director)</v>
      </c>
      <c r="AH23" s="3">
        <f t="shared" si="9"/>
        <v>17</v>
      </c>
      <c r="AI23" s="3" t="str">
        <v>Staff Role: Chief Animation Director</v>
      </c>
    </row>
    <row r="24" spans="1:35" x14ac:dyDescent="0.3">
      <c r="A24" t="s">
        <v>261</v>
      </c>
      <c r="B24" s="5">
        <v>75.5555555555555</v>
      </c>
      <c r="C24" s="9">
        <v>45</v>
      </c>
      <c r="D24" s="6">
        <v>6.3246661981728701E-3</v>
      </c>
      <c r="E24" s="7">
        <v>0.47786366830639498</v>
      </c>
      <c r="G24" s="3" t="str">
        <f t="shared" si="10"/>
        <v/>
      </c>
      <c r="H24" s="3"/>
      <c r="J24" s="3">
        <f t="shared" si="11"/>
        <v>18</v>
      </c>
      <c r="K24" s="3" t="str">
        <v>Tag: Surreal Comedy</v>
      </c>
      <c r="M24" s="3">
        <f t="shared" si="12"/>
        <v>18</v>
      </c>
      <c r="N24" s="3" t="str">
        <v>Studio: KADOKAWA</v>
      </c>
      <c r="P24" s="3">
        <f t="shared" si="13"/>
        <v>18</v>
      </c>
      <c r="Q24" s="3" t="str">
        <v>Tag Category: Theme-Other-Vehicle</v>
      </c>
      <c r="S24" s="3" t="str">
        <f t="shared" si="14"/>
        <v/>
      </c>
      <c r="T24" s="3"/>
      <c r="V24" s="3" t="str">
        <f t="shared" si="15"/>
        <v/>
      </c>
      <c r="W24" s="3"/>
      <c r="Y24" s="3" t="str">
        <f t="shared" si="16"/>
        <v/>
      </c>
      <c r="Z24" s="3"/>
      <c r="AB24" s="3">
        <f t="shared" si="17"/>
        <v>18</v>
      </c>
      <c r="AC24" s="3" t="str">
        <v>Year: 2013</v>
      </c>
      <c r="AE24" s="3">
        <f t="shared" si="18"/>
        <v>18</v>
      </c>
      <c r="AF24" s="3" t="str">
        <v>Staff: Gin  (Music)</v>
      </c>
      <c r="AH24" s="3">
        <f t="shared" si="9"/>
        <v>18</v>
      </c>
      <c r="AI24" s="3" t="str">
        <v>Staff Role: Prop Design</v>
      </c>
    </row>
    <row r="25" spans="1:35" x14ac:dyDescent="0.3">
      <c r="A25" t="s">
        <v>268</v>
      </c>
      <c r="B25" s="5">
        <v>75.5555555555555</v>
      </c>
      <c r="C25" s="9">
        <v>45</v>
      </c>
      <c r="D25" s="6">
        <v>6.3246661981728701E-3</v>
      </c>
      <c r="E25" s="7">
        <v>0.47786366830639498</v>
      </c>
      <c r="G25" s="3" t="str">
        <f t="shared" si="10"/>
        <v/>
      </c>
      <c r="H25" s="3"/>
      <c r="J25" s="3">
        <f t="shared" si="11"/>
        <v>19</v>
      </c>
      <c r="K25" s="3" t="str">
        <v>Tag: Meta</v>
      </c>
      <c r="M25" s="3">
        <f t="shared" si="12"/>
        <v>19</v>
      </c>
      <c r="N25" s="3" t="str">
        <v>Studio: ABC Animation</v>
      </c>
      <c r="P25" s="3">
        <f t="shared" si="13"/>
        <v>19</v>
      </c>
      <c r="Q25" s="3" t="str">
        <v>Tag Category: Sexual Content</v>
      </c>
      <c r="S25" s="3" t="str">
        <f t="shared" si="14"/>
        <v/>
      </c>
      <c r="T25" s="3"/>
      <c r="V25" s="3" t="str">
        <f t="shared" si="15"/>
        <v/>
      </c>
      <c r="W25" s="3"/>
      <c r="Y25" s="3" t="str">
        <f t="shared" si="16"/>
        <v/>
      </c>
      <c r="Z25" s="3"/>
      <c r="AB25" s="3">
        <f t="shared" si="17"/>
        <v>19</v>
      </c>
      <c r="AC25" s="3" t="str">
        <v>Year: null</v>
      </c>
      <c r="AE25" s="3">
        <f t="shared" si="18"/>
        <v>19</v>
      </c>
      <c r="AF25" s="3" t="str">
        <v>Staff: Hideyuki Kurata (Series Composition)</v>
      </c>
      <c r="AH25" s="3">
        <f t="shared" si="9"/>
        <v>19</v>
      </c>
      <c r="AI25" s="3" t="str">
        <v>Staff Role: Original Character Design</v>
      </c>
    </row>
    <row r="26" spans="1:35" x14ac:dyDescent="0.3">
      <c r="A26" t="s">
        <v>266</v>
      </c>
      <c r="B26" s="5">
        <v>71.702127659574401</v>
      </c>
      <c r="C26" s="9">
        <v>47</v>
      </c>
      <c r="D26" s="6">
        <v>6.6057624736472198E-3</v>
      </c>
      <c r="E26" s="7">
        <v>0.47364722417427901</v>
      </c>
      <c r="G26" s="3" t="str">
        <f t="shared" si="10"/>
        <v/>
      </c>
      <c r="H26" s="3"/>
      <c r="J26" s="3">
        <f t="shared" si="11"/>
        <v>20</v>
      </c>
      <c r="K26" s="3" t="str">
        <v>Tag: Gore</v>
      </c>
      <c r="M26" s="3">
        <f t="shared" si="12"/>
        <v>20</v>
      </c>
      <c r="N26" s="3" t="str">
        <v>Studio: Movic</v>
      </c>
      <c r="P26" s="3">
        <f t="shared" si="13"/>
        <v>20</v>
      </c>
      <c r="Q26" s="3" t="str">
        <v>Tag Category: Theme</v>
      </c>
      <c r="S26" s="3" t="str">
        <f t="shared" si="14"/>
        <v/>
      </c>
      <c r="T26" s="3"/>
      <c r="V26" s="3" t="str">
        <f t="shared" si="15"/>
        <v/>
      </c>
      <c r="W26" s="3"/>
      <c r="Y26" s="3" t="str">
        <f t="shared" si="16"/>
        <v/>
      </c>
      <c r="Z26" s="3"/>
      <c r="AB26" s="3" t="str">
        <f t="shared" si="17"/>
        <v/>
      </c>
      <c r="AC26" s="3"/>
      <c r="AE26" s="3">
        <f t="shared" si="18"/>
        <v>20</v>
      </c>
      <c r="AF26" s="3" t="str">
        <v>Staff: Justin Cook (Producer (English))</v>
      </c>
      <c r="AH26" s="3">
        <f t="shared" si="9"/>
        <v>20</v>
      </c>
      <c r="AI26" s="3" t="str">
        <v>Staff Role: Production</v>
      </c>
    </row>
    <row r="27" spans="1:35" x14ac:dyDescent="0.3">
      <c r="A27" t="s">
        <v>38</v>
      </c>
      <c r="B27" s="5">
        <v>74.4444444444444</v>
      </c>
      <c r="C27" s="9">
        <v>45</v>
      </c>
      <c r="D27" s="6">
        <v>6.3246661981728701E-3</v>
      </c>
      <c r="E27" s="7">
        <v>0.470836261419536</v>
      </c>
      <c r="G27" s="3" t="str">
        <f t="shared" si="10"/>
        <v/>
      </c>
      <c r="H27" s="3"/>
      <c r="J27" s="3">
        <f t="shared" si="11"/>
        <v>21</v>
      </c>
      <c r="K27" s="3" t="str">
        <v>Tag: Work</v>
      </c>
      <c r="M27" s="3">
        <f t="shared" si="12"/>
        <v>21</v>
      </c>
      <c r="N27" s="3" t="str">
        <v>Studio: Toho</v>
      </c>
      <c r="P27" s="3">
        <f t="shared" si="13"/>
        <v>21</v>
      </c>
      <c r="Q27" s="3" t="str">
        <v>Tag Category: Theme-Game</v>
      </c>
      <c r="S27" s="3" t="str">
        <f t="shared" si="14"/>
        <v/>
      </c>
      <c r="T27" s="3"/>
      <c r="V27" s="3" t="str">
        <f t="shared" si="15"/>
        <v/>
      </c>
      <c r="W27" s="3"/>
      <c r="Y27" s="3" t="str">
        <f t="shared" si="16"/>
        <v/>
      </c>
      <c r="Z27" s="3"/>
      <c r="AB27" s="3" t="str">
        <f t="shared" si="17"/>
        <v/>
      </c>
      <c r="AC27" s="3"/>
      <c r="AE27" s="3">
        <f t="shared" si="18"/>
        <v>21</v>
      </c>
      <c r="AF27" s="3" t="str">
        <v>Staff: Gen Fukunaga (Executive Producer (English))</v>
      </c>
      <c r="AH27" s="3">
        <f t="shared" si="9"/>
        <v>21</v>
      </c>
      <c r="AI27" s="3" t="str">
        <v>Staff Role: Original Story</v>
      </c>
    </row>
    <row r="28" spans="1:35" x14ac:dyDescent="0.3">
      <c r="A28" t="s">
        <v>58</v>
      </c>
      <c r="B28" s="5">
        <v>74.2222222222222</v>
      </c>
      <c r="C28" s="9">
        <v>45</v>
      </c>
      <c r="D28" s="6">
        <v>6.3246661981728701E-3</v>
      </c>
      <c r="E28" s="7">
        <v>0.46943078004216399</v>
      </c>
      <c r="G28" s="3" t="str">
        <f t="shared" si="10"/>
        <v/>
      </c>
      <c r="H28" s="3"/>
      <c r="J28" s="3">
        <f t="shared" si="11"/>
        <v>22</v>
      </c>
      <c r="K28" s="3" t="str">
        <v>Tag: Parody</v>
      </c>
      <c r="M28" s="3">
        <f t="shared" si="12"/>
        <v>22</v>
      </c>
      <c r="N28" s="3" t="str">
        <v>Studio: diomedéa</v>
      </c>
      <c r="P28" s="3">
        <f t="shared" si="13"/>
        <v>22</v>
      </c>
      <c r="Q28" s="3" t="str">
        <v>Tag Category: Theme-Sci-Fi</v>
      </c>
      <c r="S28" s="3" t="str">
        <f t="shared" si="14"/>
        <v/>
      </c>
      <c r="T28" s="3"/>
      <c r="V28" s="3" t="str">
        <f t="shared" si="15"/>
        <v/>
      </c>
      <c r="W28" s="3"/>
      <c r="Y28" s="3" t="str">
        <f t="shared" si="16"/>
        <v/>
      </c>
      <c r="Z28" s="3"/>
      <c r="AB28" s="3" t="str">
        <f t="shared" si="17"/>
        <v/>
      </c>
      <c r="AC28" s="3"/>
      <c r="AE28" s="3">
        <f t="shared" si="18"/>
        <v>22</v>
      </c>
      <c r="AF28" s="3" t="str">
        <v>Staff: Noboru Yamada (Planning)</v>
      </c>
      <c r="AH28" s="3">
        <f t="shared" si="9"/>
        <v>22</v>
      </c>
      <c r="AI28" s="3" t="str">
        <v>Staff Role: Theme Song Performance (OP, ED)</v>
      </c>
    </row>
    <row r="29" spans="1:35" x14ac:dyDescent="0.3">
      <c r="A29" t="s">
        <v>59</v>
      </c>
      <c r="B29" s="5">
        <v>73.720930232558104</v>
      </c>
      <c r="C29" s="9">
        <v>43</v>
      </c>
      <c r="D29" s="6">
        <v>6.0435699226985204E-3</v>
      </c>
      <c r="E29" s="7">
        <v>0.445537596626844</v>
      </c>
      <c r="G29" s="3" t="str">
        <f t="shared" si="10"/>
        <v/>
      </c>
      <c r="H29" s="3"/>
      <c r="J29" s="3">
        <f t="shared" si="11"/>
        <v>23</v>
      </c>
      <c r="K29" s="3" t="str">
        <v>Tag: CGI</v>
      </c>
      <c r="M29" s="3">
        <f t="shared" si="12"/>
        <v>23</v>
      </c>
      <c r="N29" s="3" t="str">
        <v>Studio: Aniplex of America</v>
      </c>
      <c r="P29" s="3">
        <f t="shared" si="13"/>
        <v>23</v>
      </c>
      <c r="Q29" s="3" t="str">
        <v>Tag Category: Theme-Game-Card &amp; Board Game</v>
      </c>
      <c r="S29" s="3" t="str">
        <f t="shared" si="14"/>
        <v/>
      </c>
      <c r="T29" s="3"/>
      <c r="V29" s="3" t="str">
        <f t="shared" si="15"/>
        <v/>
      </c>
      <c r="W29" s="3"/>
      <c r="Y29" s="3" t="str">
        <f t="shared" si="16"/>
        <v/>
      </c>
      <c r="Z29" s="3"/>
      <c r="AB29" s="3" t="str">
        <f t="shared" si="17"/>
        <v/>
      </c>
      <c r="AC29" s="3"/>
      <c r="AE29" s="3">
        <f t="shared" si="18"/>
        <v>23</v>
      </c>
      <c r="AF29" s="3" t="str">
        <v>Staff: Masato Kouda (Music)</v>
      </c>
      <c r="AH29" s="3">
        <f t="shared" si="9"/>
        <v>23</v>
      </c>
      <c r="AI29" s="3" t="str">
        <v>Staff Role: Assistant Director</v>
      </c>
    </row>
    <row r="30" spans="1:35" x14ac:dyDescent="0.3">
      <c r="A30" t="s">
        <v>277</v>
      </c>
      <c r="B30" s="5">
        <v>76.969696969696898</v>
      </c>
      <c r="C30" s="9">
        <v>33</v>
      </c>
      <c r="D30" s="6">
        <v>4.6380885453267701E-3</v>
      </c>
      <c r="E30" s="7">
        <v>0.35699226985242399</v>
      </c>
      <c r="G30" s="3" t="str">
        <f t="shared" si="10"/>
        <v/>
      </c>
      <c r="H30" s="3"/>
      <c r="J30" s="3">
        <f t="shared" si="11"/>
        <v>24</v>
      </c>
      <c r="K30" s="3" t="str">
        <v>Tag: Coming of Age</v>
      </c>
      <c r="M30" s="3">
        <f t="shared" si="12"/>
        <v>24</v>
      </c>
      <c r="N30" s="3" t="str">
        <v>Studio: VAP</v>
      </c>
      <c r="P30" s="3">
        <f t="shared" si="13"/>
        <v>24</v>
      </c>
      <c r="Q30" s="3" t="str">
        <v>Tag Category: Theme-Arts-Music</v>
      </c>
      <c r="S30" s="3" t="str">
        <f t="shared" si="14"/>
        <v/>
      </c>
      <c r="T30" s="3"/>
      <c r="V30" s="3" t="str">
        <f t="shared" si="15"/>
        <v/>
      </c>
      <c r="W30" s="3"/>
      <c r="Y30" s="3" t="str">
        <f t="shared" si="16"/>
        <v/>
      </c>
      <c r="Z30" s="3"/>
      <c r="AB30" s="3" t="str">
        <f t="shared" si="17"/>
        <v/>
      </c>
      <c r="AC30" s="3"/>
      <c r="AE30" s="3">
        <f t="shared" si="18"/>
        <v>24</v>
      </c>
      <c r="AF30" s="3" t="str">
        <v>Staff: Takashi Koujuu (Planning)</v>
      </c>
      <c r="AH30" s="3">
        <f t="shared" si="9"/>
        <v>24</v>
      </c>
      <c r="AI30" s="3" t="str">
        <v>Staff Role: ADR Director (English)</v>
      </c>
    </row>
    <row r="31" spans="1:35" x14ac:dyDescent="0.3">
      <c r="A31" t="s">
        <v>485</v>
      </c>
      <c r="B31" s="5">
        <v>72.941176470588204</v>
      </c>
      <c r="C31" s="9">
        <v>34</v>
      </c>
      <c r="D31" s="6">
        <v>4.7786366830639398E-3</v>
      </c>
      <c r="E31" s="7">
        <v>0.348559381588193</v>
      </c>
      <c r="G31" s="3" t="str">
        <f t="shared" si="10"/>
        <v/>
      </c>
      <c r="H31" s="3"/>
      <c r="J31" s="3">
        <f t="shared" si="11"/>
        <v>25</v>
      </c>
      <c r="K31" s="3" t="str">
        <v>Tag: Philosophy</v>
      </c>
      <c r="M31" s="3">
        <f t="shared" si="12"/>
        <v>25</v>
      </c>
      <c r="N31" s="3" t="str">
        <v>Studio: Nippon Television Network</v>
      </c>
      <c r="P31" s="3" t="str">
        <f t="shared" si="13"/>
        <v/>
      </c>
      <c r="Q31" s="3"/>
      <c r="S31" s="3" t="str">
        <f t="shared" si="14"/>
        <v/>
      </c>
      <c r="T31" s="3"/>
      <c r="V31" s="3" t="str">
        <f t="shared" si="15"/>
        <v/>
      </c>
      <c r="W31" s="3"/>
      <c r="Y31" s="3" t="str">
        <f t="shared" si="16"/>
        <v/>
      </c>
      <c r="Z31" s="3"/>
      <c r="AB31" s="3" t="str">
        <f t="shared" si="17"/>
        <v/>
      </c>
      <c r="AC31" s="3"/>
      <c r="AE31" s="3">
        <f t="shared" si="18"/>
        <v>25</v>
      </c>
      <c r="AF31" s="3" t="str">
        <v>Staff: Shinji Takamatsu (Sound Director)</v>
      </c>
      <c r="AH31" s="3">
        <f t="shared" si="9"/>
        <v>25</v>
      </c>
      <c r="AI31" s="3" t="str">
        <v>Staff Role: Key Animation</v>
      </c>
    </row>
    <row r="32" spans="1:35" x14ac:dyDescent="0.3">
      <c r="A32" t="s">
        <v>486</v>
      </c>
      <c r="B32" s="5">
        <v>73.225806451612897</v>
      </c>
      <c r="C32" s="9">
        <v>31</v>
      </c>
      <c r="D32" s="6">
        <v>4.3569922698524204E-3</v>
      </c>
      <c r="E32" s="7">
        <v>0.31904427266338697</v>
      </c>
      <c r="G32" s="3" t="str">
        <f t="shared" si="10"/>
        <v/>
      </c>
      <c r="H32" s="3"/>
      <c r="J32" s="3">
        <f t="shared" si="11"/>
        <v>26</v>
      </c>
      <c r="K32" s="3" t="str">
        <v>Tag: Crossdressing</v>
      </c>
      <c r="M32" s="3">
        <f t="shared" si="12"/>
        <v>26</v>
      </c>
      <c r="N32" s="3" t="str">
        <v>Studio: Square Enix</v>
      </c>
      <c r="P32" s="3" t="str">
        <f t="shared" si="13"/>
        <v/>
      </c>
      <c r="Q32" s="3"/>
      <c r="S32" s="3" t="str">
        <f t="shared" si="14"/>
        <v/>
      </c>
      <c r="T32" s="3"/>
      <c r="V32" s="3" t="str">
        <f t="shared" si="15"/>
        <v/>
      </c>
      <c r="W32" s="3"/>
      <c r="Y32" s="3" t="str">
        <f t="shared" si="16"/>
        <v/>
      </c>
      <c r="Z32" s="3"/>
      <c r="AB32" s="3" t="str">
        <f t="shared" si="17"/>
        <v/>
      </c>
      <c r="AC32" s="3"/>
      <c r="AE32" s="3">
        <f t="shared" si="18"/>
        <v>26</v>
      </c>
      <c r="AF32" s="3" t="str">
        <v>Staff: Takeshi Takadera (Sound Director)</v>
      </c>
      <c r="AH32" s="3">
        <f t="shared" si="9"/>
        <v>26</v>
      </c>
      <c r="AI32" s="3" t="str">
        <v>Staff Role: Theme Song Composition (OP)</v>
      </c>
    </row>
    <row r="33" spans="1:35" x14ac:dyDescent="0.3">
      <c r="A33" t="s">
        <v>56</v>
      </c>
      <c r="B33" s="5">
        <v>75.3333333333333</v>
      </c>
      <c r="C33" s="9">
        <v>30</v>
      </c>
      <c r="D33" s="6">
        <v>4.2164441321152499E-3</v>
      </c>
      <c r="E33" s="7">
        <v>0.31763879128601502</v>
      </c>
      <c r="G33" s="3" t="str">
        <f t="shared" si="10"/>
        <v/>
      </c>
      <c r="H33" s="3"/>
      <c r="J33" s="3">
        <f t="shared" si="11"/>
        <v>27</v>
      </c>
      <c r="K33" s="3" t="str">
        <v>Tag: Magic</v>
      </c>
      <c r="M33" s="3">
        <f t="shared" si="12"/>
        <v>27</v>
      </c>
      <c r="N33" s="3" t="str">
        <v>Studio: Mainichi Broadcasting System</v>
      </c>
      <c r="P33" s="3" t="str">
        <f t="shared" si="13"/>
        <v/>
      </c>
      <c r="Q33" s="3"/>
      <c r="S33" s="3" t="str">
        <f t="shared" si="14"/>
        <v/>
      </c>
      <c r="T33" s="3"/>
      <c r="V33" s="3" t="str">
        <f t="shared" si="15"/>
        <v/>
      </c>
      <c r="W33" s="3"/>
      <c r="Y33" s="3" t="str">
        <f t="shared" si="16"/>
        <v/>
      </c>
      <c r="Z33" s="3"/>
      <c r="AB33" s="3" t="str">
        <f t="shared" si="17"/>
        <v/>
      </c>
      <c r="AC33" s="3"/>
      <c r="AE33" s="3">
        <f t="shared" si="18"/>
        <v>27</v>
      </c>
      <c r="AF33" s="3" t="str">
        <v>Staff: Yoshihiro Togashi (Original Creator)</v>
      </c>
      <c r="AH33" s="3">
        <f t="shared" si="9"/>
        <v>27</v>
      </c>
      <c r="AI33" s="3" t="str">
        <v>Staff Role: Theme Song Lyrics (OP)</v>
      </c>
    </row>
    <row r="34" spans="1:35" x14ac:dyDescent="0.3">
      <c r="A34" t="s">
        <v>88</v>
      </c>
      <c r="B34" s="5">
        <v>76.785714285714207</v>
      </c>
      <c r="C34" s="9">
        <v>28</v>
      </c>
      <c r="D34" s="6">
        <v>3.9353478566408898E-3</v>
      </c>
      <c r="E34" s="7">
        <v>0.30217849613492598</v>
      </c>
      <c r="G34" s="3" t="str">
        <f t="shared" si="10"/>
        <v/>
      </c>
      <c r="H34" s="3"/>
      <c r="J34" s="3">
        <f t="shared" si="11"/>
        <v>28</v>
      </c>
      <c r="K34" s="3" t="str">
        <v>Tag: Anti-Hero</v>
      </c>
      <c r="M34" s="3">
        <f t="shared" si="12"/>
        <v>28</v>
      </c>
      <c r="N34" s="3" t="str">
        <v>Studio: Crunchyroll</v>
      </c>
      <c r="P34" s="3" t="str">
        <f t="shared" si="13"/>
        <v/>
      </c>
      <c r="Q34" s="3"/>
      <c r="S34" s="3" t="str">
        <f t="shared" si="14"/>
        <v/>
      </c>
      <c r="T34" s="3"/>
      <c r="V34" s="3" t="str">
        <f t="shared" si="15"/>
        <v/>
      </c>
      <c r="W34" s="3"/>
      <c r="Y34" s="3" t="str">
        <f t="shared" si="16"/>
        <v/>
      </c>
      <c r="Z34" s="3"/>
      <c r="AB34" s="3" t="str">
        <f t="shared" si="17"/>
        <v/>
      </c>
      <c r="AC34" s="3"/>
      <c r="AE34" s="3">
        <f t="shared" si="18"/>
        <v>28</v>
      </c>
      <c r="AF34" s="3" t="str">
        <v>Staff: Akiyuki Tateyama (Music)</v>
      </c>
      <c r="AH34" s="3">
        <f t="shared" si="9"/>
        <v>28</v>
      </c>
      <c r="AI34" s="3" t="str">
        <v>Staff Role: Theme Song Arrangement (OP)</v>
      </c>
    </row>
    <row r="35" spans="1:35" x14ac:dyDescent="0.3">
      <c r="A35" t="s">
        <v>276</v>
      </c>
      <c r="B35" s="5">
        <v>76.785714285714207</v>
      </c>
      <c r="C35" s="9">
        <v>28</v>
      </c>
      <c r="D35" s="6">
        <v>3.9353478566408898E-3</v>
      </c>
      <c r="E35" s="7">
        <v>0.30217849613492598</v>
      </c>
      <c r="G35" s="3" t="str">
        <f t="shared" si="10"/>
        <v/>
      </c>
      <c r="H35" s="3"/>
      <c r="J35" s="3">
        <f t="shared" si="11"/>
        <v>29</v>
      </c>
      <c r="K35" s="3" t="str">
        <v>Tag: Urban Fantasy</v>
      </c>
      <c r="M35" s="3">
        <f t="shared" si="12"/>
        <v>29</v>
      </c>
      <c r="N35" s="3" t="str">
        <v>Studio: Kyoto Animation</v>
      </c>
      <c r="P35" s="3" t="str">
        <f t="shared" si="13"/>
        <v/>
      </c>
      <c r="Q35" s="3"/>
      <c r="S35" s="3" t="str">
        <f t="shared" si="14"/>
        <v/>
      </c>
      <c r="T35" s="3"/>
      <c r="V35" s="3" t="str">
        <f t="shared" si="15"/>
        <v/>
      </c>
      <c r="W35" s="3"/>
      <c r="Y35" s="3" t="str">
        <f t="shared" si="16"/>
        <v/>
      </c>
      <c r="Z35" s="3"/>
      <c r="AB35" s="3" t="str">
        <f t="shared" si="17"/>
        <v/>
      </c>
      <c r="AC35" s="3"/>
      <c r="AE35" s="3">
        <f t="shared" si="18"/>
        <v>29</v>
      </c>
      <c r="AF35" s="3" t="str">
        <v>Staff: Souji Miyagi (Producer)</v>
      </c>
      <c r="AH35" s="3">
        <f t="shared" si="9"/>
        <v>29</v>
      </c>
      <c r="AI35" s="3" t="str">
        <v>Staff Role: Theme Song Performance</v>
      </c>
    </row>
    <row r="36" spans="1:35" x14ac:dyDescent="0.3">
      <c r="A36" t="s">
        <v>54</v>
      </c>
      <c r="B36" s="5">
        <v>72.413793103448199</v>
      </c>
      <c r="C36" s="9">
        <v>29</v>
      </c>
      <c r="D36" s="6">
        <v>4.0758959943780699E-3</v>
      </c>
      <c r="E36" s="7">
        <v>0.29515108924806699</v>
      </c>
      <c r="G36" s="3" t="str">
        <f t="shared" si="10"/>
        <v/>
      </c>
      <c r="H36" s="3"/>
      <c r="J36" s="3">
        <f t="shared" si="11"/>
        <v>30</v>
      </c>
      <c r="K36" s="3" t="str">
        <v>Tag: Iyashikei</v>
      </c>
      <c r="M36" s="3">
        <f t="shared" si="12"/>
        <v>30</v>
      </c>
      <c r="N36" s="3" t="str">
        <v>Studio: David Production</v>
      </c>
      <c r="P36" s="3" t="str">
        <f t="shared" si="13"/>
        <v/>
      </c>
      <c r="Q36" s="3"/>
      <c r="S36" s="3" t="str">
        <f t="shared" si="14"/>
        <v/>
      </c>
      <c r="T36" s="3"/>
      <c r="V36" s="3" t="str">
        <f t="shared" si="15"/>
        <v/>
      </c>
      <c r="W36" s="3"/>
      <c r="Y36" s="3" t="str">
        <f t="shared" si="16"/>
        <v/>
      </c>
      <c r="Z36" s="3"/>
      <c r="AB36" s="3" t="str">
        <f t="shared" si="17"/>
        <v/>
      </c>
      <c r="AC36" s="3"/>
      <c r="AE36" s="3">
        <f t="shared" si="18"/>
        <v>30</v>
      </c>
      <c r="AF36" s="3" t="str">
        <v>Staff: Yuuko Kakihara (Series Composition)</v>
      </c>
      <c r="AH36" s="3">
        <f t="shared" si="9"/>
        <v>30</v>
      </c>
      <c r="AI36" s="3" t="str">
        <v>Staff Role: Music Producer</v>
      </c>
    </row>
    <row r="37" spans="1:35" x14ac:dyDescent="0.3">
      <c r="A37" t="s">
        <v>490</v>
      </c>
      <c r="B37" s="5">
        <v>72.857142857142804</v>
      </c>
      <c r="C37" s="9">
        <v>28</v>
      </c>
      <c r="D37" s="6">
        <v>3.9353478566408898E-3</v>
      </c>
      <c r="E37" s="7">
        <v>0.28671820098383699</v>
      </c>
      <c r="G37" s="3" t="str">
        <f t="shared" si="10"/>
        <v/>
      </c>
      <c r="H37" s="3"/>
      <c r="J37" s="3">
        <f t="shared" si="11"/>
        <v>31</v>
      </c>
      <c r="K37" s="3" t="str">
        <v>Tag: School Club</v>
      </c>
      <c r="M37" s="3">
        <f t="shared" si="12"/>
        <v>31</v>
      </c>
      <c r="N37" s="3" t="str">
        <v>Studio: SILVER LINK.</v>
      </c>
      <c r="P37" s="3" t="str">
        <f t="shared" si="13"/>
        <v/>
      </c>
      <c r="Q37" s="3"/>
      <c r="S37" s="3" t="str">
        <f t="shared" si="14"/>
        <v/>
      </c>
      <c r="T37" s="3"/>
      <c r="V37" s="3" t="str">
        <f t="shared" si="15"/>
        <v/>
      </c>
      <c r="W37" s="3"/>
      <c r="Y37" s="3" t="str">
        <f t="shared" si="16"/>
        <v/>
      </c>
      <c r="Z37" s="3"/>
      <c r="AB37" s="3" t="str">
        <f t="shared" si="17"/>
        <v/>
      </c>
      <c r="AC37" s="3"/>
      <c r="AE37" s="3">
        <f t="shared" si="18"/>
        <v>31</v>
      </c>
      <c r="AF37" s="3" t="str">
        <v>Staff: Kenji Kawai (Music)</v>
      </c>
      <c r="AH37" s="3">
        <f t="shared" si="9"/>
        <v>31</v>
      </c>
      <c r="AI37" s="3" t="str">
        <v>Staff Role: Sound Effects</v>
      </c>
    </row>
    <row r="38" spans="1:35" x14ac:dyDescent="0.3">
      <c r="A38" t="s">
        <v>84</v>
      </c>
      <c r="B38" s="5">
        <v>74.4444444444444</v>
      </c>
      <c r="C38" s="9">
        <v>27</v>
      </c>
      <c r="D38" s="6">
        <v>3.7947997189037201E-3</v>
      </c>
      <c r="E38" s="7">
        <v>0.28250175685172102</v>
      </c>
      <c r="G38" s="3" t="str">
        <f t="shared" si="10"/>
        <v/>
      </c>
      <c r="H38" s="3"/>
      <c r="J38" s="3">
        <f t="shared" si="11"/>
        <v>32</v>
      </c>
      <c r="K38" s="3" t="str">
        <v>Tag: Guns</v>
      </c>
      <c r="M38" s="3">
        <f t="shared" si="12"/>
        <v>32</v>
      </c>
      <c r="N38" s="3" t="str">
        <v>Studio: TBS</v>
      </c>
      <c r="P38" s="3" t="str">
        <f t="shared" si="13"/>
        <v/>
      </c>
      <c r="Q38" s="3"/>
      <c r="S38" s="3" t="str">
        <f t="shared" si="14"/>
        <v/>
      </c>
      <c r="T38" s="3"/>
      <c r="V38" s="3" t="str">
        <f t="shared" si="15"/>
        <v/>
      </c>
      <c r="W38" s="3"/>
      <c r="Y38" s="3" t="str">
        <f t="shared" si="16"/>
        <v/>
      </c>
      <c r="Z38" s="3"/>
      <c r="AB38" s="3" t="str">
        <f t="shared" si="17"/>
        <v/>
      </c>
      <c r="AC38" s="3"/>
      <c r="AE38" s="3">
        <f t="shared" si="18"/>
        <v>32</v>
      </c>
      <c r="AF38" s="3" t="str">
        <v>Staff: Mike McFarland (ADR Director (English))</v>
      </c>
      <c r="AH38" s="3">
        <f t="shared" si="9"/>
        <v>32</v>
      </c>
      <c r="AI38" s="3" t="str">
        <v>Staff Role: Animation Producer</v>
      </c>
    </row>
    <row r="39" spans="1:35" x14ac:dyDescent="0.3">
      <c r="A39" t="s">
        <v>52</v>
      </c>
      <c r="B39" s="5">
        <v>73.703703703703695</v>
      </c>
      <c r="C39" s="9">
        <v>27</v>
      </c>
      <c r="D39" s="6">
        <v>3.7947997189037201E-3</v>
      </c>
      <c r="E39" s="7">
        <v>0.279690794096978</v>
      </c>
      <c r="G39" s="3" t="str">
        <f t="shared" si="10"/>
        <v/>
      </c>
      <c r="H39" s="3"/>
      <c r="J39" s="3">
        <f t="shared" si="11"/>
        <v>33</v>
      </c>
      <c r="K39" s="3" t="str">
        <v>Tag: Family Life</v>
      </c>
      <c r="M39" s="3">
        <f t="shared" si="12"/>
        <v>33</v>
      </c>
      <c r="N39" s="3" t="str">
        <v>Studio: NBCUniversal Entertainment Japan</v>
      </c>
      <c r="P39" s="3" t="str">
        <f t="shared" si="13"/>
        <v/>
      </c>
      <c r="Q39" s="3"/>
      <c r="S39" s="3" t="str">
        <f t="shared" si="14"/>
        <v/>
      </c>
      <c r="T39" s="3"/>
      <c r="V39" s="3" t="str">
        <f t="shared" si="15"/>
        <v/>
      </c>
      <c r="W39" s="3"/>
      <c r="Y39" s="3" t="str">
        <f t="shared" si="16"/>
        <v/>
      </c>
      <c r="Z39" s="3"/>
      <c r="AB39" s="3" t="str">
        <f t="shared" si="17"/>
        <v/>
      </c>
      <c r="AC39" s="3"/>
      <c r="AE39" s="3">
        <f t="shared" si="18"/>
        <v>33</v>
      </c>
      <c r="AF39" s="3" t="str">
        <v>Staff: Shouji Hata (Sound Director)</v>
      </c>
      <c r="AH39" s="3">
        <f t="shared" si="9"/>
        <v>33</v>
      </c>
      <c r="AI39" s="3" t="str">
        <v>Staff Role: Sub Character Design</v>
      </c>
    </row>
    <row r="40" spans="1:35" x14ac:dyDescent="0.3">
      <c r="A40" t="s">
        <v>60</v>
      </c>
      <c r="B40" s="5">
        <v>72.2222222222222</v>
      </c>
      <c r="C40" s="9">
        <v>27</v>
      </c>
      <c r="D40" s="6">
        <v>3.7947997189037201E-3</v>
      </c>
      <c r="E40" s="7">
        <v>0.27406886858749102</v>
      </c>
      <c r="G40" s="3" t="str">
        <f t="shared" si="10"/>
        <v/>
      </c>
      <c r="H40" s="3"/>
      <c r="J40" s="3">
        <f t="shared" si="11"/>
        <v>34</v>
      </c>
      <c r="K40" s="3" t="str">
        <v>Tag: Super Power</v>
      </c>
      <c r="M40" s="3">
        <f t="shared" si="12"/>
        <v>34</v>
      </c>
      <c r="N40" s="3" t="str">
        <v>Studio: MAGES.</v>
      </c>
      <c r="P40" s="3" t="str">
        <f t="shared" si="13"/>
        <v/>
      </c>
      <c r="Q40" s="3"/>
      <c r="S40" s="3" t="str">
        <f t="shared" si="14"/>
        <v/>
      </c>
      <c r="T40" s="3"/>
      <c r="V40" s="3" t="str">
        <f t="shared" si="15"/>
        <v/>
      </c>
      <c r="W40" s="3"/>
      <c r="Y40" s="3" t="str">
        <f t="shared" si="16"/>
        <v/>
      </c>
      <c r="Z40" s="3"/>
      <c r="AB40" s="3" t="str">
        <f t="shared" si="17"/>
        <v/>
      </c>
      <c r="AC40" s="3"/>
      <c r="AE40" s="3">
        <f t="shared" si="18"/>
        <v>34</v>
      </c>
      <c r="AF40" s="3" t="str">
        <v>Staff: Noriko Izumo (Sound Effects)</v>
      </c>
      <c r="AH40" s="3">
        <f t="shared" si="9"/>
        <v>34</v>
      </c>
      <c r="AI40" s="3" t="str">
        <v>Staff Role: ADR Director (German)</v>
      </c>
    </row>
    <row r="41" spans="1:35" x14ac:dyDescent="0.3">
      <c r="A41" t="s">
        <v>273</v>
      </c>
      <c r="B41" s="5">
        <v>78</v>
      </c>
      <c r="C41" s="9">
        <v>25</v>
      </c>
      <c r="D41" s="6">
        <v>3.51370344342937E-3</v>
      </c>
      <c r="E41" s="7">
        <v>0.27406886858749102</v>
      </c>
      <c r="G41" s="3" t="str">
        <f t="shared" si="10"/>
        <v/>
      </c>
      <c r="H41" s="3"/>
      <c r="J41" s="3">
        <f t="shared" si="11"/>
        <v>35</v>
      </c>
      <c r="K41" s="3" t="str">
        <v>Tag: Tomboy</v>
      </c>
      <c r="M41" s="3">
        <f t="shared" si="12"/>
        <v>35</v>
      </c>
      <c r="N41" s="3" t="str">
        <v>Studio: Sony Music Communications</v>
      </c>
      <c r="P41" s="3" t="str">
        <f t="shared" si="13"/>
        <v/>
      </c>
      <c r="Q41" s="3"/>
      <c r="S41" s="3" t="str">
        <f t="shared" si="14"/>
        <v/>
      </c>
      <c r="T41" s="3"/>
      <c r="V41" s="3" t="str">
        <f t="shared" si="15"/>
        <v/>
      </c>
      <c r="W41" s="3"/>
      <c r="Y41" s="3" t="str">
        <f t="shared" si="16"/>
        <v/>
      </c>
      <c r="Z41" s="3"/>
      <c r="AB41" s="3" t="str">
        <f t="shared" si="17"/>
        <v/>
      </c>
      <c r="AC41" s="3"/>
      <c r="AE41" s="3">
        <f t="shared" si="18"/>
        <v>35</v>
      </c>
      <c r="AF41" s="3" t="str">
        <v>Staff: Kaoru Aoki (Art Design)</v>
      </c>
      <c r="AH41" s="3">
        <f t="shared" si="9"/>
        <v>35</v>
      </c>
      <c r="AI41" s="3" t="str">
        <v>Staff Role: CG Director</v>
      </c>
    </row>
    <row r="42" spans="1:35" x14ac:dyDescent="0.3">
      <c r="A42" t="s">
        <v>496</v>
      </c>
      <c r="B42" s="5">
        <v>74.230769230769198</v>
      </c>
      <c r="C42" s="9">
        <v>26</v>
      </c>
      <c r="D42" s="6">
        <v>3.6542515811665401E-3</v>
      </c>
      <c r="E42" s="7">
        <v>0.271257905832747</v>
      </c>
      <c r="G42" s="3" t="str">
        <f t="shared" si="10"/>
        <v/>
      </c>
      <c r="H42" s="3"/>
      <c r="J42" s="3">
        <f t="shared" si="11"/>
        <v>36</v>
      </c>
      <c r="K42" s="3" t="str">
        <v>Tag: Gods</v>
      </c>
      <c r="M42" s="3">
        <f t="shared" si="12"/>
        <v>36</v>
      </c>
      <c r="N42" s="3" t="str">
        <v>Studio: Studio Pierrot</v>
      </c>
      <c r="P42" s="3" t="str">
        <f t="shared" si="13"/>
        <v/>
      </c>
      <c r="Q42" s="3"/>
      <c r="S42" s="3" t="str">
        <f t="shared" si="14"/>
        <v/>
      </c>
      <c r="T42" s="3"/>
      <c r="V42" s="3" t="str">
        <f t="shared" si="15"/>
        <v/>
      </c>
      <c r="W42" s="3"/>
      <c r="Y42" s="3" t="str">
        <f t="shared" si="16"/>
        <v/>
      </c>
      <c r="Z42" s="3"/>
      <c r="AB42" s="3" t="str">
        <f t="shared" si="17"/>
        <v/>
      </c>
      <c r="AC42" s="3"/>
      <c r="AE42" s="3">
        <f t="shared" si="18"/>
        <v>36</v>
      </c>
      <c r="AF42" s="3" t="str">
        <v>Staff: Toshiyuki Aoshima (Director of Photography)</v>
      </c>
      <c r="AH42" s="3">
        <f t="shared" si="9"/>
        <v>36</v>
      </c>
      <c r="AI42" s="3" t="str">
        <v>Staff Role: Theme Song Lyrics (ED)</v>
      </c>
    </row>
    <row r="43" spans="1:35" x14ac:dyDescent="0.3">
      <c r="A43" t="s">
        <v>55</v>
      </c>
      <c r="B43" s="5">
        <v>75.4166666666666</v>
      </c>
      <c r="C43" s="9">
        <v>24</v>
      </c>
      <c r="D43" s="6">
        <v>3.3731553056921999E-3</v>
      </c>
      <c r="E43" s="7">
        <v>0.25439212930428601</v>
      </c>
      <c r="G43" s="3" t="str">
        <f t="shared" si="10"/>
        <v/>
      </c>
      <c r="H43" s="3"/>
      <c r="J43" s="3">
        <f t="shared" si="11"/>
        <v>37</v>
      </c>
      <c r="K43" s="3" t="str">
        <v>Tag: Swordplay</v>
      </c>
      <c r="M43" s="3">
        <f t="shared" si="12"/>
        <v>37</v>
      </c>
      <c r="N43" s="3" t="str">
        <v>Studio: Kadokawa Shoten</v>
      </c>
      <c r="P43" s="3" t="str">
        <f t="shared" si="13"/>
        <v/>
      </c>
      <c r="Q43" s="3"/>
      <c r="S43" s="3" t="str">
        <f t="shared" si="14"/>
        <v/>
      </c>
      <c r="T43" s="3"/>
      <c r="V43" s="3" t="str">
        <f t="shared" si="15"/>
        <v/>
      </c>
      <c r="W43" s="3"/>
      <c r="Y43" s="3" t="str">
        <f t="shared" si="16"/>
        <v/>
      </c>
      <c r="Z43" s="3"/>
      <c r="AB43" s="3" t="str">
        <f t="shared" si="17"/>
        <v/>
      </c>
      <c r="AC43" s="3"/>
      <c r="AE43" s="3">
        <f t="shared" si="18"/>
        <v>37</v>
      </c>
      <c r="AF43" s="3" t="str">
        <v>Staff: Atsuhiro Iwakami (Planning)</v>
      </c>
      <c r="AH43" s="3">
        <f t="shared" si="9"/>
        <v>37</v>
      </c>
      <c r="AI43" s="3" t="str">
        <v>Staff Role: Assistant ADR Engineer (English)</v>
      </c>
    </row>
    <row r="44" spans="1:35" x14ac:dyDescent="0.3">
      <c r="A44" t="s">
        <v>270</v>
      </c>
      <c r="B44" s="5">
        <v>76.956521739130395</v>
      </c>
      <c r="C44" s="9">
        <v>23</v>
      </c>
      <c r="D44" s="6">
        <v>3.2326071679550199E-3</v>
      </c>
      <c r="E44" s="7">
        <v>0.248770203794799</v>
      </c>
      <c r="G44" s="3" t="str">
        <f t="shared" si="10"/>
        <v/>
      </c>
      <c r="H44" s="3"/>
      <c r="J44" s="3">
        <f t="shared" si="11"/>
        <v>38</v>
      </c>
      <c r="K44" s="3" t="str">
        <v>Tag: Demons</v>
      </c>
      <c r="M44" s="3">
        <f t="shared" si="12"/>
        <v>38</v>
      </c>
      <c r="N44" s="3" t="str">
        <v>Studio: King Records</v>
      </c>
      <c r="P44" s="3" t="str">
        <f t="shared" si="13"/>
        <v/>
      </c>
      <c r="Q44" s="3"/>
      <c r="S44" s="3" t="str">
        <f t="shared" si="14"/>
        <v/>
      </c>
      <c r="T44" s="3"/>
      <c r="V44" s="3" t="str">
        <f t="shared" si="15"/>
        <v/>
      </c>
      <c r="W44" s="3"/>
      <c r="Y44" s="3" t="str">
        <f t="shared" si="16"/>
        <v/>
      </c>
      <c r="Z44" s="3"/>
      <c r="AB44" s="3" t="str">
        <f t="shared" si="17"/>
        <v/>
      </c>
      <c r="AC44" s="3"/>
      <c r="AE44" s="3">
        <f t="shared" si="18"/>
        <v>38</v>
      </c>
      <c r="AF44" s="3" t="str">
        <v>Staff:  Audio Highs (Music)</v>
      </c>
      <c r="AH44" s="3">
        <f t="shared" si="9"/>
        <v>38</v>
      </c>
      <c r="AI44" s="3" t="str">
        <v>Staff Role: Episode Director (ep 10)</v>
      </c>
    </row>
    <row r="45" spans="1:35" x14ac:dyDescent="0.3">
      <c r="A45" t="s">
        <v>65</v>
      </c>
      <c r="B45" s="5">
        <v>75.652173913043399</v>
      </c>
      <c r="C45" s="9">
        <v>23</v>
      </c>
      <c r="D45" s="6">
        <v>3.2326071679550199E-3</v>
      </c>
      <c r="E45" s="7">
        <v>0.244553759662684</v>
      </c>
      <c r="G45" s="3" t="str">
        <f t="shared" si="10"/>
        <v/>
      </c>
      <c r="H45" s="3"/>
      <c r="J45" s="3">
        <f t="shared" si="11"/>
        <v>39</v>
      </c>
      <c r="K45" s="3" t="str">
        <v>Tag: Nudity</v>
      </c>
      <c r="M45" s="3">
        <f t="shared" si="12"/>
        <v>39</v>
      </c>
      <c r="N45" s="3" t="str">
        <v>Studio: Genco</v>
      </c>
      <c r="P45" s="3" t="str">
        <f t="shared" si="13"/>
        <v/>
      </c>
      <c r="Q45" s="3"/>
      <c r="S45" s="3" t="str">
        <f t="shared" si="14"/>
        <v/>
      </c>
      <c r="T45" s="3"/>
      <c r="V45" s="3" t="str">
        <f t="shared" si="15"/>
        <v/>
      </c>
      <c r="W45" s="3"/>
      <c r="Y45" s="3" t="str">
        <f t="shared" si="16"/>
        <v/>
      </c>
      <c r="Z45" s="3"/>
      <c r="AB45" s="3" t="str">
        <f t="shared" si="17"/>
        <v/>
      </c>
      <c r="AC45" s="3"/>
      <c r="AE45" s="3">
        <f t="shared" si="18"/>
        <v>39</v>
      </c>
      <c r="AF45" s="3" t="str">
        <v>Staff:  Key (Original Creator)</v>
      </c>
      <c r="AH45" s="3">
        <f t="shared" si="9"/>
        <v>39</v>
      </c>
      <c r="AI45" s="3" t="str">
        <v>Staff Role: Theme Song Composition (ED)</v>
      </c>
    </row>
    <row r="46" spans="1:35" x14ac:dyDescent="0.3">
      <c r="A46" t="s">
        <v>498</v>
      </c>
      <c r="B46" s="5">
        <v>73.478260869565204</v>
      </c>
      <c r="C46" s="9">
        <v>23</v>
      </c>
      <c r="D46" s="6">
        <v>3.2326071679550199E-3</v>
      </c>
      <c r="E46" s="7">
        <v>0.23752635277582501</v>
      </c>
      <c r="G46" s="3" t="str">
        <f t="shared" si="10"/>
        <v/>
      </c>
      <c r="H46" s="3"/>
      <c r="J46" s="3">
        <f t="shared" si="11"/>
        <v>40</v>
      </c>
      <c r="K46" s="3" t="str">
        <v>Tag: Educational</v>
      </c>
      <c r="M46" s="3">
        <f t="shared" si="12"/>
        <v>40</v>
      </c>
      <c r="N46" s="3" t="str">
        <v>Studio: Sunrise</v>
      </c>
      <c r="P46" s="3" t="str">
        <f t="shared" si="13"/>
        <v/>
      </c>
      <c r="Q46" s="3"/>
      <c r="S46" s="3" t="str">
        <f t="shared" si="14"/>
        <v/>
      </c>
      <c r="T46" s="3"/>
      <c r="V46" s="3" t="str">
        <f t="shared" si="15"/>
        <v/>
      </c>
      <c r="W46" s="3"/>
      <c r="Y46" s="3" t="str">
        <f t="shared" si="16"/>
        <v/>
      </c>
      <c r="Z46" s="3"/>
      <c r="AB46" s="3" t="str">
        <f t="shared" si="17"/>
        <v/>
      </c>
      <c r="AC46" s="3"/>
      <c r="AE46" s="3">
        <f t="shared" si="18"/>
        <v>40</v>
      </c>
      <c r="AF46" s="3" t="str">
        <v>Staff: Naohiro Tafu (Producer)</v>
      </c>
      <c r="AH46" s="3">
        <f t="shared" si="9"/>
        <v>40</v>
      </c>
      <c r="AI46" s="3" t="str">
        <v>Staff Role: Background Art</v>
      </c>
    </row>
    <row r="47" spans="1:35" x14ac:dyDescent="0.3">
      <c r="A47" t="s">
        <v>37</v>
      </c>
      <c r="B47" s="5">
        <v>70</v>
      </c>
      <c r="C47" s="9">
        <v>24</v>
      </c>
      <c r="D47" s="6">
        <v>3.3731553056921999E-3</v>
      </c>
      <c r="E47" s="7">
        <v>0.236120871398454</v>
      </c>
      <c r="G47" s="3" t="str">
        <f t="shared" si="10"/>
        <v/>
      </c>
      <c r="H47" s="3"/>
      <c r="J47" s="3">
        <f t="shared" si="11"/>
        <v>41</v>
      </c>
      <c r="K47" s="3" t="str">
        <v>Tag: Animals</v>
      </c>
      <c r="M47" s="3">
        <f t="shared" si="12"/>
        <v>41</v>
      </c>
      <c r="N47" s="3" t="str">
        <v>Studio: Trinity Sound</v>
      </c>
      <c r="P47" s="3" t="str">
        <f t="shared" si="13"/>
        <v/>
      </c>
      <c r="Q47" s="3"/>
      <c r="S47" s="3" t="str">
        <f t="shared" si="14"/>
        <v/>
      </c>
      <c r="T47" s="3"/>
      <c r="V47" s="3" t="str">
        <f t="shared" si="15"/>
        <v/>
      </c>
      <c r="W47" s="3"/>
      <c r="Y47" s="3" t="str">
        <f t="shared" si="16"/>
        <v/>
      </c>
      <c r="Z47" s="3"/>
      <c r="AB47" s="3" t="str">
        <f t="shared" si="17"/>
        <v/>
      </c>
      <c r="AC47" s="3"/>
      <c r="AE47" s="3">
        <f t="shared" si="18"/>
        <v>41</v>
      </c>
      <c r="AF47" s="3" t="str">
        <v>Staff: Youko Hatta (Producer)</v>
      </c>
      <c r="AH47" s="3">
        <f t="shared" si="9"/>
        <v>41</v>
      </c>
      <c r="AI47" s="3" t="str">
        <v>Staff Role: Script (German)</v>
      </c>
    </row>
    <row r="48" spans="1:35" x14ac:dyDescent="0.3">
      <c r="A48" t="s">
        <v>30</v>
      </c>
      <c r="B48" s="5">
        <v>72.608695652173907</v>
      </c>
      <c r="C48" s="9">
        <v>23</v>
      </c>
      <c r="D48" s="6">
        <v>3.2326071679550199E-3</v>
      </c>
      <c r="E48" s="7">
        <v>0.23471539002108199</v>
      </c>
      <c r="G48" s="3" t="str">
        <f t="shared" si="10"/>
        <v/>
      </c>
      <c r="H48" s="3"/>
      <c r="J48" s="3">
        <f t="shared" si="11"/>
        <v>42</v>
      </c>
      <c r="K48" s="3" t="str">
        <v>Tag: Food</v>
      </c>
      <c r="M48" s="3">
        <f t="shared" si="12"/>
        <v>42</v>
      </c>
      <c r="N48" s="3" t="str">
        <v>Studio: Brain's Base</v>
      </c>
      <c r="P48" s="3" t="str">
        <f t="shared" si="13"/>
        <v/>
      </c>
      <c r="Q48" s="3"/>
      <c r="S48" s="3" t="str">
        <f t="shared" si="14"/>
        <v/>
      </c>
      <c r="T48" s="3"/>
      <c r="V48" s="3" t="str">
        <f t="shared" si="15"/>
        <v/>
      </c>
      <c r="W48" s="3"/>
      <c r="Y48" s="3" t="str">
        <f t="shared" si="16"/>
        <v/>
      </c>
      <c r="Z48" s="3"/>
      <c r="AB48" s="3" t="str">
        <f t="shared" si="17"/>
        <v/>
      </c>
      <c r="AC48" s="3"/>
      <c r="AE48" s="3">
        <f t="shared" si="18"/>
        <v>42</v>
      </c>
      <c r="AF48" s="3" t="str">
        <v>Staff: Yoshihisa Nakayama (Producer)</v>
      </c>
      <c r="AH48" s="3">
        <f t="shared" si="9"/>
        <v>42</v>
      </c>
      <c r="AI48" s="3" t="str">
        <v>Staff Role: Animation Director</v>
      </c>
    </row>
    <row r="49" spans="1:35" x14ac:dyDescent="0.3">
      <c r="A49" t="s">
        <v>39</v>
      </c>
      <c r="B49" s="5">
        <v>75.909090909090907</v>
      </c>
      <c r="C49" s="9">
        <v>22</v>
      </c>
      <c r="D49" s="6">
        <v>3.0920590302178498E-3</v>
      </c>
      <c r="E49" s="7">
        <v>0.23471539002108199</v>
      </c>
      <c r="G49" s="3" t="str">
        <f t="shared" si="10"/>
        <v/>
      </c>
      <c r="H49" s="3"/>
      <c r="J49" s="3">
        <f t="shared" si="11"/>
        <v>43</v>
      </c>
      <c r="K49" s="3" t="str">
        <v>Tag: Travel</v>
      </c>
      <c r="M49" s="3">
        <f t="shared" si="12"/>
        <v>43</v>
      </c>
      <c r="N49" s="3" t="str">
        <v>Studio: Sakura Create</v>
      </c>
      <c r="P49" s="3" t="str">
        <f t="shared" si="13"/>
        <v/>
      </c>
      <c r="Q49" s="3"/>
      <c r="S49" s="3" t="str">
        <f t="shared" si="14"/>
        <v/>
      </c>
      <c r="T49" s="3"/>
      <c r="V49" s="3" t="str">
        <f t="shared" si="15"/>
        <v/>
      </c>
      <c r="W49" s="3"/>
      <c r="Y49" s="3" t="str">
        <f t="shared" si="16"/>
        <v/>
      </c>
      <c r="Z49" s="3"/>
      <c r="AB49" s="3" t="str">
        <f t="shared" si="17"/>
        <v/>
      </c>
      <c r="AC49" s="3"/>
      <c r="AE49" s="3">
        <f t="shared" si="18"/>
        <v>43</v>
      </c>
      <c r="AF49" s="3" t="str">
        <v>Staff: Shinichi Nakamura (Producer)</v>
      </c>
      <c r="AH49" s="3">
        <f t="shared" si="9"/>
        <v>43</v>
      </c>
      <c r="AI49" s="3" t="str">
        <v>Staff Role: Script (English)</v>
      </c>
    </row>
    <row r="50" spans="1:35" x14ac:dyDescent="0.3">
      <c r="A50" t="s">
        <v>82</v>
      </c>
      <c r="B50" s="5">
        <v>75.454545454545396</v>
      </c>
      <c r="C50" s="9">
        <v>22</v>
      </c>
      <c r="D50" s="6">
        <v>3.0920590302178498E-3</v>
      </c>
      <c r="E50" s="7">
        <v>0.23330990864371001</v>
      </c>
      <c r="G50" s="3" t="str">
        <f t="shared" si="10"/>
        <v/>
      </c>
      <c r="H50" s="3"/>
      <c r="J50" s="3">
        <f t="shared" si="11"/>
        <v>44</v>
      </c>
      <c r="K50" s="3" t="str">
        <v>Tag: Isekai</v>
      </c>
      <c r="M50" s="3">
        <f t="shared" si="12"/>
        <v>44</v>
      </c>
      <c r="N50" s="3" t="str">
        <v>Studio: Viz Media</v>
      </c>
      <c r="P50" s="3" t="str">
        <f t="shared" si="13"/>
        <v/>
      </c>
      <c r="Q50" s="3"/>
      <c r="S50" s="3" t="str">
        <f t="shared" si="14"/>
        <v/>
      </c>
      <c r="T50" s="3"/>
      <c r="V50" s="3" t="str">
        <f t="shared" si="15"/>
        <v/>
      </c>
      <c r="W50" s="3"/>
      <c r="Y50" s="3" t="str">
        <f t="shared" si="16"/>
        <v/>
      </c>
      <c r="Z50" s="3"/>
      <c r="AB50" s="3" t="str">
        <f t="shared" si="17"/>
        <v/>
      </c>
      <c r="AC50" s="3"/>
      <c r="AE50" s="3">
        <f t="shared" si="18"/>
        <v>44</v>
      </c>
      <c r="AF50" s="3" t="str">
        <v>Staff: Rin Yamamoto (Director of Photography)</v>
      </c>
      <c r="AH50" s="3">
        <f t="shared" si="9"/>
        <v>44</v>
      </c>
      <c r="AI50" s="3" t="str">
        <v>Staff Role: Animation Director (ep 1)</v>
      </c>
    </row>
    <row r="51" spans="1:35" x14ac:dyDescent="0.3">
      <c r="A51" t="s">
        <v>513</v>
      </c>
      <c r="B51" s="5">
        <v>70.869565217391298</v>
      </c>
      <c r="C51" s="9">
        <v>23</v>
      </c>
      <c r="D51" s="6">
        <v>3.2326071679550199E-3</v>
      </c>
      <c r="E51" s="7">
        <v>0.22909346451159501</v>
      </c>
      <c r="G51" s="3" t="str">
        <f t="shared" si="10"/>
        <v/>
      </c>
      <c r="H51" s="3"/>
      <c r="J51" s="3">
        <f t="shared" si="11"/>
        <v>45</v>
      </c>
      <c r="K51" s="3" t="str">
        <v>Tag: Crime</v>
      </c>
      <c r="M51" s="3">
        <f t="shared" si="12"/>
        <v>45</v>
      </c>
      <c r="N51" s="3" t="str">
        <v>Studio: Kinema Citrus</v>
      </c>
      <c r="P51" s="3" t="str">
        <f t="shared" si="13"/>
        <v/>
      </c>
      <c r="Q51" s="3"/>
      <c r="S51" s="3" t="str">
        <f t="shared" si="14"/>
        <v/>
      </c>
      <c r="T51" s="3"/>
      <c r="V51" s="3" t="str">
        <f t="shared" si="15"/>
        <v/>
      </c>
      <c r="W51" s="3"/>
      <c r="Y51" s="3" t="str">
        <f t="shared" si="16"/>
        <v/>
      </c>
      <c r="Z51" s="3"/>
      <c r="AB51" s="3" t="str">
        <f t="shared" si="17"/>
        <v/>
      </c>
      <c r="AC51" s="3"/>
      <c r="AE51" s="3">
        <f t="shared" si="18"/>
        <v>45</v>
      </c>
      <c r="AF51" s="3" t="str">
        <v>Staff: Kenichi Suzuki (Director)</v>
      </c>
      <c r="AH51" s="3">
        <f t="shared" si="9"/>
        <v>45</v>
      </c>
      <c r="AI51" s="3" t="str">
        <v>Staff Role: Executive Producer (English)</v>
      </c>
    </row>
    <row r="52" spans="1:35" x14ac:dyDescent="0.3">
      <c r="A52" t="s">
        <v>32</v>
      </c>
      <c r="B52" s="5">
        <v>74.285714285714207</v>
      </c>
      <c r="C52" s="9">
        <v>21</v>
      </c>
      <c r="D52" s="6">
        <v>2.9515108924806702E-3</v>
      </c>
      <c r="E52" s="7">
        <v>0.21925509486999301</v>
      </c>
      <c r="G52" s="3" t="str">
        <f t="shared" si="10"/>
        <v/>
      </c>
      <c r="H52" s="3"/>
      <c r="J52" s="3">
        <f t="shared" si="11"/>
        <v>46</v>
      </c>
      <c r="K52" s="3" t="str">
        <v>Tag: Primarily Male Cast</v>
      </c>
      <c r="M52" s="3">
        <f t="shared" si="12"/>
        <v>46</v>
      </c>
      <c r="N52" s="3" t="str">
        <v>Studio: Frontier Works</v>
      </c>
      <c r="P52" s="3" t="str">
        <f t="shared" si="13"/>
        <v/>
      </c>
      <c r="Q52" s="3"/>
      <c r="S52" s="3" t="str">
        <f t="shared" si="14"/>
        <v/>
      </c>
      <c r="T52" s="3"/>
      <c r="V52" s="3" t="str">
        <f t="shared" si="15"/>
        <v/>
      </c>
      <c r="W52" s="3"/>
      <c r="Y52" s="3" t="str">
        <f t="shared" si="16"/>
        <v/>
      </c>
      <c r="Z52" s="3"/>
      <c r="AB52" s="3" t="str">
        <f t="shared" si="17"/>
        <v/>
      </c>
      <c r="AC52" s="3"/>
      <c r="AE52" s="3">
        <f t="shared" si="18"/>
        <v>46</v>
      </c>
      <c r="AF52" s="3" t="str">
        <v>Staff: Tsuyoshi Kikuchi (Planning)</v>
      </c>
      <c r="AH52" s="3">
        <f t="shared" si="9"/>
        <v>46</v>
      </c>
      <c r="AI52" s="3" t="str">
        <v>Staff Role: Storyboard</v>
      </c>
    </row>
    <row r="53" spans="1:35" x14ac:dyDescent="0.3">
      <c r="A53" t="s">
        <v>102</v>
      </c>
      <c r="B53" s="5">
        <v>73.809523809523796</v>
      </c>
      <c r="C53" s="9">
        <v>21</v>
      </c>
      <c r="D53" s="6">
        <v>2.9515108924806702E-3</v>
      </c>
      <c r="E53" s="7">
        <v>0.217849613492621</v>
      </c>
      <c r="G53" s="3" t="str">
        <f t="shared" si="10"/>
        <v/>
      </c>
      <c r="H53" s="3"/>
      <c r="J53" s="3">
        <f t="shared" si="11"/>
        <v>47</v>
      </c>
      <c r="K53" s="3" t="str">
        <v>Tag: Robots</v>
      </c>
      <c r="M53" s="3">
        <f t="shared" si="12"/>
        <v>47</v>
      </c>
      <c r="N53" s="3" t="str">
        <v>Studio: Q-Tec</v>
      </c>
      <c r="P53" s="3" t="str">
        <f t="shared" si="13"/>
        <v/>
      </c>
      <c r="Q53" s="3"/>
      <c r="S53" s="3" t="str">
        <f t="shared" si="14"/>
        <v/>
      </c>
      <c r="T53" s="3"/>
      <c r="V53" s="3" t="str">
        <f t="shared" si="15"/>
        <v/>
      </c>
      <c r="W53" s="3"/>
      <c r="Y53" s="3" t="str">
        <f t="shared" si="16"/>
        <v/>
      </c>
      <c r="Z53" s="3"/>
      <c r="AB53" s="3" t="str">
        <f t="shared" si="17"/>
        <v/>
      </c>
      <c r="AC53" s="3"/>
      <c r="AE53" s="3">
        <f t="shared" si="18"/>
        <v>47</v>
      </c>
      <c r="AF53" s="3" t="str">
        <v>Staff: Kazuya Takahashi (Planning)</v>
      </c>
      <c r="AH53" s="3">
        <f t="shared" si="9"/>
        <v>47</v>
      </c>
      <c r="AI53" s="3" t="str">
        <v>Staff Role: Theme Song Arrangement (ED)</v>
      </c>
    </row>
    <row r="54" spans="1:35" x14ac:dyDescent="0.3">
      <c r="A54" t="s">
        <v>120</v>
      </c>
      <c r="B54" s="5">
        <v>75.5</v>
      </c>
      <c r="C54" s="9">
        <v>20</v>
      </c>
      <c r="D54" s="6">
        <v>2.8109627547434901E-3</v>
      </c>
      <c r="E54" s="7">
        <v>0.21222768798313399</v>
      </c>
      <c r="G54" s="3" t="str">
        <f t="shared" si="10"/>
        <v/>
      </c>
      <c r="H54" s="3"/>
      <c r="J54" s="3">
        <f t="shared" si="11"/>
        <v>48</v>
      </c>
      <c r="K54" s="3" t="str">
        <v>Tag: Aliens</v>
      </c>
      <c r="M54" s="3">
        <f t="shared" si="12"/>
        <v>48</v>
      </c>
      <c r="N54" s="3" t="str">
        <v>Studio: Shueisha</v>
      </c>
      <c r="P54" s="3" t="str">
        <f t="shared" si="13"/>
        <v/>
      </c>
      <c r="Q54" s="3"/>
      <c r="S54" s="3" t="str">
        <f t="shared" si="14"/>
        <v/>
      </c>
      <c r="T54" s="3"/>
      <c r="V54" s="3" t="str">
        <f t="shared" si="15"/>
        <v/>
      </c>
      <c r="W54" s="3"/>
      <c r="Y54" s="3" t="str">
        <f t="shared" si="16"/>
        <v/>
      </c>
      <c r="Z54" s="3"/>
      <c r="AB54" s="3" t="str">
        <f t="shared" si="17"/>
        <v/>
      </c>
      <c r="AC54" s="3"/>
      <c r="AE54" s="3">
        <f t="shared" si="18"/>
        <v>48</v>
      </c>
      <c r="AF54" s="3" t="str">
        <v>Staff: Mutsumi Takemiya (Editing)</v>
      </c>
      <c r="AH54" s="3">
        <f t="shared" si="9"/>
        <v>48</v>
      </c>
      <c r="AI54" s="3" t="str">
        <v>Staff Role: Storyboard (ep 11)</v>
      </c>
    </row>
    <row r="55" spans="1:35" x14ac:dyDescent="0.3">
      <c r="A55" t="s">
        <v>31</v>
      </c>
      <c r="B55" s="5">
        <v>74.5</v>
      </c>
      <c r="C55" s="9">
        <v>20</v>
      </c>
      <c r="D55" s="6">
        <v>2.8109627547434901E-3</v>
      </c>
      <c r="E55" s="7">
        <v>0.20941672522839</v>
      </c>
      <c r="G55" s="3" t="str">
        <f t="shared" si="10"/>
        <v/>
      </c>
      <c r="H55" s="3"/>
      <c r="J55" s="3">
        <f t="shared" si="11"/>
        <v>49</v>
      </c>
      <c r="K55" s="3" t="str">
        <v>Tag: Chibi</v>
      </c>
      <c r="M55" s="3">
        <f t="shared" si="12"/>
        <v>49</v>
      </c>
      <c r="N55" s="3" t="str">
        <v>Studio: TV Tokyo Music</v>
      </c>
      <c r="P55" s="3" t="str">
        <f t="shared" si="13"/>
        <v/>
      </c>
      <c r="Q55" s="3"/>
      <c r="S55" s="3" t="str">
        <f t="shared" si="14"/>
        <v/>
      </c>
      <c r="T55" s="3"/>
      <c r="V55" s="3" t="str">
        <f t="shared" si="15"/>
        <v/>
      </c>
      <c r="W55" s="3"/>
      <c r="Y55" s="3" t="str">
        <f t="shared" si="16"/>
        <v/>
      </c>
      <c r="Z55" s="3"/>
      <c r="AB55" s="3" t="str">
        <f t="shared" si="17"/>
        <v/>
      </c>
      <c r="AC55" s="3"/>
      <c r="AE55" s="3">
        <f t="shared" si="18"/>
        <v>49</v>
      </c>
      <c r="AF55" s="3" t="str">
        <v>Staff: Kunihiko Itou (Director of Photography)</v>
      </c>
      <c r="AH55" s="3">
        <f t="shared" si="9"/>
        <v>49</v>
      </c>
      <c r="AI55" s="3" t="str">
        <v>Staff Role: Theme Song Performance (ED2)</v>
      </c>
    </row>
    <row r="56" spans="1:35" x14ac:dyDescent="0.3">
      <c r="A56" t="s">
        <v>63</v>
      </c>
      <c r="B56" s="5">
        <v>74.5</v>
      </c>
      <c r="C56" s="9">
        <v>20</v>
      </c>
      <c r="D56" s="6">
        <v>2.8109627547434901E-3</v>
      </c>
      <c r="E56" s="7">
        <v>0.20941672522839</v>
      </c>
      <c r="G56" s="3" t="str">
        <f t="shared" si="10"/>
        <v/>
      </c>
      <c r="H56" s="3"/>
      <c r="J56" s="3">
        <f t="shared" si="11"/>
        <v>50</v>
      </c>
      <c r="K56" s="3" t="str">
        <v>Tag: Survival</v>
      </c>
      <c r="M56" s="3">
        <f t="shared" si="12"/>
        <v>50</v>
      </c>
      <c r="N56" s="3" t="str">
        <v>Studio: Animation Do</v>
      </c>
      <c r="P56" s="3" t="str">
        <f t="shared" si="13"/>
        <v/>
      </c>
      <c r="Q56" s="3"/>
      <c r="S56" s="3" t="str">
        <f t="shared" si="14"/>
        <v/>
      </c>
      <c r="T56" s="3"/>
      <c r="V56" s="3" t="str">
        <f t="shared" si="15"/>
        <v/>
      </c>
      <c r="W56" s="3"/>
      <c r="Y56" s="3" t="str">
        <f t="shared" si="16"/>
        <v/>
      </c>
      <c r="Z56" s="3"/>
      <c r="AB56" s="3" t="str">
        <f t="shared" si="17"/>
        <v/>
      </c>
      <c r="AC56" s="3"/>
      <c r="AE56" s="3">
        <f t="shared" si="18"/>
        <v>50</v>
      </c>
      <c r="AF56" s="3" t="str">
        <v>Staff: Yukari Hashimoto (Music)</v>
      </c>
      <c r="AH56" s="3">
        <f t="shared" si="9"/>
        <v>50</v>
      </c>
      <c r="AI56" s="3" t="str">
        <v>Staff Role: Chief Director</v>
      </c>
    </row>
    <row r="57" spans="1:35" x14ac:dyDescent="0.3">
      <c r="A57" t="s">
        <v>619</v>
      </c>
      <c r="B57" s="5">
        <v>73.5</v>
      </c>
      <c r="C57" s="9">
        <v>20</v>
      </c>
      <c r="D57" s="6">
        <v>2.8109627547434901E-3</v>
      </c>
      <c r="E57" s="7">
        <v>0.20660576247364701</v>
      </c>
      <c r="G57" s="3" t="str">
        <f t="shared" si="10"/>
        <v/>
      </c>
      <c r="H57" s="3"/>
      <c r="J57" s="3">
        <f t="shared" si="11"/>
        <v>51</v>
      </c>
      <c r="K57" s="3" t="str">
        <v>Tag: Politics</v>
      </c>
      <c r="M57" s="3">
        <f t="shared" si="12"/>
        <v>51</v>
      </c>
      <c r="N57" s="3" t="str">
        <v>Studio: Creators in Pack</v>
      </c>
      <c r="P57" s="3" t="str">
        <f t="shared" si="13"/>
        <v/>
      </c>
      <c r="Q57" s="3"/>
      <c r="S57" s="3" t="str">
        <f t="shared" si="14"/>
        <v/>
      </c>
      <c r="T57" s="3"/>
      <c r="V57" s="3" t="str">
        <f t="shared" si="15"/>
        <v/>
      </c>
      <c r="W57" s="3"/>
      <c r="Y57" s="3" t="str">
        <f t="shared" si="16"/>
        <v/>
      </c>
      <c r="Z57" s="3"/>
      <c r="AB57" s="3" t="str">
        <f t="shared" si="17"/>
        <v/>
      </c>
      <c r="AC57" s="3"/>
      <c r="AE57" s="3">
        <f t="shared" si="18"/>
        <v>51</v>
      </c>
      <c r="AF57" s="3" t="str">
        <v>Staff: Yoshiko Nakamura (Series Composition)</v>
      </c>
      <c r="AH57" s="3">
        <f t="shared" si="9"/>
        <v>51</v>
      </c>
      <c r="AI57" s="3" t="str">
        <v>Staff Role: Episode Director (ep 7)</v>
      </c>
    </row>
    <row r="58" spans="1:35" x14ac:dyDescent="0.3">
      <c r="A58" t="s">
        <v>43</v>
      </c>
      <c r="B58" s="5">
        <v>73</v>
      </c>
      <c r="C58" s="9">
        <v>20</v>
      </c>
      <c r="D58" s="6">
        <v>2.8109627547434901E-3</v>
      </c>
      <c r="E58" s="7">
        <v>0.205200281096275</v>
      </c>
      <c r="G58" s="3" t="str">
        <f t="shared" si="10"/>
        <v/>
      </c>
      <c r="H58" s="3"/>
      <c r="J58" s="3">
        <f t="shared" si="11"/>
        <v>52</v>
      </c>
      <c r="K58" s="3" t="str">
        <v>Tag: Video Games</v>
      </c>
      <c r="M58" s="3">
        <f t="shared" si="12"/>
        <v>52</v>
      </c>
      <c r="N58" s="3" t="str">
        <v>Studio: Geno Studio</v>
      </c>
      <c r="P58" s="3" t="str">
        <f t="shared" si="13"/>
        <v/>
      </c>
      <c r="Q58" s="3"/>
      <c r="S58" s="3" t="str">
        <f t="shared" si="14"/>
        <v/>
      </c>
      <c r="T58" s="3"/>
      <c r="V58" s="3" t="str">
        <f t="shared" si="15"/>
        <v/>
      </c>
      <c r="W58" s="3"/>
      <c r="Y58" s="3" t="str">
        <f t="shared" si="16"/>
        <v/>
      </c>
      <c r="Z58" s="3"/>
      <c r="AB58" s="3" t="str">
        <f t="shared" si="17"/>
        <v/>
      </c>
      <c r="AC58" s="3"/>
      <c r="AE58" s="3">
        <f t="shared" si="18"/>
        <v>52</v>
      </c>
      <c r="AF58" s="3" t="str">
        <v>Staff: Daisuke Ono (Theme Song Performance (OP))</v>
      </c>
      <c r="AH58" s="3">
        <f t="shared" si="9"/>
        <v>52</v>
      </c>
      <c r="AI58" s="3" t="str">
        <v>Staff Role: Key Animation (ep 8)</v>
      </c>
    </row>
    <row r="59" spans="1:35" x14ac:dyDescent="0.3">
      <c r="A59" t="s">
        <v>57</v>
      </c>
      <c r="B59" s="5">
        <v>75.263157894736807</v>
      </c>
      <c r="C59" s="9">
        <v>19</v>
      </c>
      <c r="D59" s="6">
        <v>2.67041461700632E-3</v>
      </c>
      <c r="E59" s="7">
        <v>0.20098383696416</v>
      </c>
      <c r="G59" s="3" t="str">
        <f t="shared" si="10"/>
        <v/>
      </c>
      <c r="H59" s="3"/>
      <c r="J59" s="3">
        <f t="shared" si="11"/>
        <v>53</v>
      </c>
      <c r="K59" s="3" t="str">
        <v>Tag: LGBTQ+ Themes</v>
      </c>
      <c r="M59" s="3">
        <f t="shared" si="12"/>
        <v>53</v>
      </c>
      <c r="N59" s="3" t="str">
        <v>Studio: feel.</v>
      </c>
      <c r="P59" s="3" t="str">
        <f t="shared" si="13"/>
        <v/>
      </c>
      <c r="Q59" s="3"/>
      <c r="S59" s="3" t="str">
        <f t="shared" si="14"/>
        <v/>
      </c>
      <c r="T59" s="3"/>
      <c r="V59" s="3" t="str">
        <f t="shared" si="15"/>
        <v/>
      </c>
      <c r="W59" s="3"/>
      <c r="Y59" s="3" t="str">
        <f t="shared" si="16"/>
        <v/>
      </c>
      <c r="Z59" s="3"/>
      <c r="AB59" s="3" t="str">
        <f t="shared" si="17"/>
        <v/>
      </c>
      <c r="AC59" s="3"/>
      <c r="AE59" s="3">
        <f t="shared" si="18"/>
        <v>53</v>
      </c>
      <c r="AF59" s="3" t="str">
        <v>Staff: Naotoshi Tsunoda (Planning)</v>
      </c>
      <c r="AH59" s="3">
        <f t="shared" si="9"/>
        <v>53</v>
      </c>
      <c r="AI59" s="3" t="str">
        <v>Staff Role: Key Animation (ep 1)</v>
      </c>
    </row>
    <row r="60" spans="1:35" x14ac:dyDescent="0.3">
      <c r="A60" t="s">
        <v>274</v>
      </c>
      <c r="B60" s="5">
        <v>77.2222222222222</v>
      </c>
      <c r="C60" s="9">
        <v>18</v>
      </c>
      <c r="D60" s="6">
        <v>2.5298664792691499E-3</v>
      </c>
      <c r="E60" s="7">
        <v>0.19536191145467299</v>
      </c>
      <c r="G60" s="3" t="str">
        <f t="shared" si="10"/>
        <v/>
      </c>
      <c r="H60" s="3"/>
      <c r="J60" s="3">
        <f t="shared" si="11"/>
        <v>54</v>
      </c>
      <c r="K60" s="3" t="str">
        <v>Tag: Outdoor</v>
      </c>
      <c r="M60" s="3">
        <f t="shared" si="12"/>
        <v>54</v>
      </c>
      <c r="N60" s="3" t="str">
        <v>Studio: Fuji TV</v>
      </c>
      <c r="P60" s="3" t="str">
        <f t="shared" si="13"/>
        <v/>
      </c>
      <c r="Q60" s="3"/>
      <c r="S60" s="3" t="str">
        <f t="shared" si="14"/>
        <v/>
      </c>
      <c r="T60" s="3"/>
      <c r="V60" s="3" t="str">
        <f t="shared" si="15"/>
        <v/>
      </c>
      <c r="W60" s="3"/>
      <c r="Y60" s="3" t="str">
        <f t="shared" si="16"/>
        <v/>
      </c>
      <c r="Z60" s="3"/>
      <c r="AB60" s="3" t="str">
        <f t="shared" si="17"/>
        <v/>
      </c>
      <c r="AC60" s="3"/>
      <c r="AE60" s="3">
        <f t="shared" si="18"/>
        <v>54</v>
      </c>
      <c r="AF60" s="3" t="str">
        <v>Staff: Kei Oikawa (Director)</v>
      </c>
      <c r="AH60" s="3">
        <f t="shared" si="9"/>
        <v>54</v>
      </c>
      <c r="AI60" s="3" t="str">
        <v>Staff Role: Storyboard (ep 6)</v>
      </c>
    </row>
    <row r="61" spans="1:35" x14ac:dyDescent="0.3">
      <c r="A61" t="s">
        <v>539</v>
      </c>
      <c r="B61" s="5">
        <v>73.157894736842096</v>
      </c>
      <c r="C61" s="9">
        <v>19</v>
      </c>
      <c r="D61" s="6">
        <v>2.67041461700632E-3</v>
      </c>
      <c r="E61" s="7">
        <v>0.19536191145467299</v>
      </c>
      <c r="G61" s="3" t="str">
        <f t="shared" si="10"/>
        <v/>
      </c>
      <c r="H61" s="3"/>
      <c r="J61" s="3">
        <f t="shared" si="11"/>
        <v>55</v>
      </c>
      <c r="K61" s="3" t="str">
        <v>Tag: Foreign</v>
      </c>
      <c r="M61" s="3">
        <f t="shared" si="12"/>
        <v>55</v>
      </c>
      <c r="N61" s="3" t="str">
        <v>Studio: Asmik Ace</v>
      </c>
      <c r="P61" s="3" t="str">
        <f t="shared" si="13"/>
        <v/>
      </c>
      <c r="Q61" s="3"/>
      <c r="S61" s="3" t="str">
        <f t="shared" si="14"/>
        <v/>
      </c>
      <c r="T61" s="3"/>
      <c r="V61" s="3" t="str">
        <f t="shared" si="15"/>
        <v/>
      </c>
      <c r="W61" s="3"/>
      <c r="Y61" s="3" t="str">
        <f t="shared" si="16"/>
        <v/>
      </c>
      <c r="Z61" s="3"/>
      <c r="AB61" s="3" t="str">
        <f t="shared" si="17"/>
        <v/>
      </c>
      <c r="AC61" s="3"/>
      <c r="AE61" s="3">
        <f t="shared" si="18"/>
        <v>55</v>
      </c>
      <c r="AF61" s="3" t="str">
        <v>Staff: Daisuke Hiraki (Editing)</v>
      </c>
      <c r="AH61" s="3">
        <f t="shared" si="9"/>
        <v>55</v>
      </c>
      <c r="AI61" s="3" t="str">
        <v>Staff Role: Theme Song Performance (ED3)</v>
      </c>
    </row>
    <row r="62" spans="1:35" x14ac:dyDescent="0.3">
      <c r="A62" t="s">
        <v>69</v>
      </c>
      <c r="B62" s="5">
        <v>74.4444444444444</v>
      </c>
      <c r="C62" s="9">
        <v>18</v>
      </c>
      <c r="D62" s="6">
        <v>2.5298664792691499E-3</v>
      </c>
      <c r="E62" s="7">
        <v>0.188334504567814</v>
      </c>
      <c r="G62" s="3" t="str">
        <f t="shared" si="10"/>
        <v/>
      </c>
      <c r="H62" s="3"/>
      <c r="J62" s="3">
        <f t="shared" si="11"/>
        <v>56</v>
      </c>
      <c r="K62" s="3" t="str">
        <v>Tag: Trains</v>
      </c>
      <c r="M62" s="3">
        <f t="shared" si="12"/>
        <v>56</v>
      </c>
      <c r="N62" s="3" t="str">
        <v>Studio: BS Fuji</v>
      </c>
      <c r="P62" s="3" t="str">
        <f t="shared" si="13"/>
        <v/>
      </c>
      <c r="Q62" s="3"/>
      <c r="S62" s="3" t="str">
        <f t="shared" si="14"/>
        <v/>
      </c>
      <c r="T62" s="3"/>
      <c r="V62" s="3" t="str">
        <f t="shared" si="15"/>
        <v/>
      </c>
      <c r="W62" s="3"/>
      <c r="Y62" s="3" t="str">
        <f t="shared" si="16"/>
        <v/>
      </c>
      <c r="Z62" s="3"/>
      <c r="AB62" s="3" t="str">
        <f t="shared" si="17"/>
        <v/>
      </c>
      <c r="AC62" s="3"/>
      <c r="AE62" s="3">
        <f t="shared" si="18"/>
        <v>56</v>
      </c>
      <c r="AF62" s="3" t="str">
        <v>Staff: Seiji Nagai (Production)</v>
      </c>
      <c r="AH62" s="3">
        <f t="shared" si="9"/>
        <v>56</v>
      </c>
      <c r="AI62" s="3" t="str">
        <v>Staff Role: Key Animation (OP)</v>
      </c>
    </row>
    <row r="63" spans="1:35" x14ac:dyDescent="0.3">
      <c r="A63" t="s">
        <v>98</v>
      </c>
      <c r="B63" s="5">
        <v>77.647058823529406</v>
      </c>
      <c r="C63" s="9">
        <v>17</v>
      </c>
      <c r="D63" s="6">
        <v>2.3893183415319699E-3</v>
      </c>
      <c r="E63" s="7">
        <v>0.18552354181306999</v>
      </c>
      <c r="G63" s="3" t="str">
        <f t="shared" si="10"/>
        <v/>
      </c>
      <c r="H63" s="3"/>
      <c r="J63" s="3">
        <f t="shared" si="11"/>
        <v>57</v>
      </c>
      <c r="K63" s="3" t="str">
        <v>Tag: Revenge</v>
      </c>
      <c r="M63" s="3">
        <f t="shared" si="12"/>
        <v>57</v>
      </c>
      <c r="N63" s="3" t="str">
        <v>Studio: Bandai Visual</v>
      </c>
      <c r="P63" s="3" t="str">
        <f t="shared" si="13"/>
        <v/>
      </c>
      <c r="Q63" s="3"/>
      <c r="S63" s="3" t="str">
        <f t="shared" si="14"/>
        <v/>
      </c>
      <c r="T63" s="3"/>
      <c r="V63" s="3" t="str">
        <f t="shared" si="15"/>
        <v/>
      </c>
      <c r="W63" s="3"/>
      <c r="Y63" s="3" t="str">
        <f t="shared" si="16"/>
        <v/>
      </c>
      <c r="Z63" s="3"/>
      <c r="AB63" s="3" t="str">
        <f t="shared" si="17"/>
        <v/>
      </c>
      <c r="AC63" s="3"/>
      <c r="AE63" s="3">
        <f t="shared" si="18"/>
        <v>57</v>
      </c>
      <c r="AF63" s="3" t="str">
        <v>Staff: Youko Matsuzaki (Supervisor)</v>
      </c>
      <c r="AH63" s="3">
        <f t="shared" si="9"/>
        <v>57</v>
      </c>
      <c r="AI63" s="3" t="str">
        <v>Staff Role: Key Animation  (OP)</v>
      </c>
    </row>
    <row r="64" spans="1:35" x14ac:dyDescent="0.3">
      <c r="A64" t="s">
        <v>279</v>
      </c>
      <c r="B64" s="5">
        <v>73.3333333333333</v>
      </c>
      <c r="C64" s="9">
        <v>18</v>
      </c>
      <c r="D64" s="6">
        <v>2.5298664792691499E-3</v>
      </c>
      <c r="E64" s="7">
        <v>0.18552354181306999</v>
      </c>
      <c r="G64" s="3" t="str">
        <f t="shared" si="10"/>
        <v/>
      </c>
      <c r="H64" s="3"/>
      <c r="J64" s="3">
        <f t="shared" si="11"/>
        <v>58</v>
      </c>
      <c r="K64" s="3" t="str">
        <v>Tag: Otaku Culture</v>
      </c>
      <c r="M64" s="3">
        <f t="shared" si="12"/>
        <v>58</v>
      </c>
      <c r="N64" s="3" t="str">
        <v>Studio: Banpresto</v>
      </c>
      <c r="P64" s="3" t="str">
        <f t="shared" si="13"/>
        <v/>
      </c>
      <c r="Q64" s="3"/>
      <c r="S64" s="3" t="str">
        <f t="shared" si="14"/>
        <v/>
      </c>
      <c r="T64" s="3"/>
      <c r="V64" s="3" t="str">
        <f t="shared" si="15"/>
        <v/>
      </c>
      <c r="W64" s="3"/>
      <c r="Y64" s="3" t="str">
        <f t="shared" si="16"/>
        <v/>
      </c>
      <c r="Z64" s="3"/>
      <c r="AB64" s="3" t="str">
        <f t="shared" si="17"/>
        <v/>
      </c>
      <c r="AC64" s="3"/>
      <c r="AE64" s="3">
        <f t="shared" si="18"/>
        <v>58</v>
      </c>
      <c r="AF64" s="3" t="str">
        <v>Staff: Yuuji Kondou (Editing)</v>
      </c>
      <c r="AH64" s="3">
        <f t="shared" si="9"/>
        <v>58</v>
      </c>
      <c r="AI64" s="3" t="str">
        <v>Staff Role: Key Animation (ED)</v>
      </c>
    </row>
    <row r="65" spans="1:35" x14ac:dyDescent="0.3">
      <c r="A65" t="s">
        <v>53</v>
      </c>
      <c r="B65" s="5">
        <v>76.470588235294102</v>
      </c>
      <c r="C65" s="9">
        <v>17</v>
      </c>
      <c r="D65" s="6">
        <v>2.3893183415319699E-3</v>
      </c>
      <c r="E65" s="7">
        <v>0.182712579058327</v>
      </c>
      <c r="G65" s="3" t="str">
        <f t="shared" si="10"/>
        <v/>
      </c>
      <c r="H65" s="3"/>
      <c r="J65" s="3">
        <f t="shared" si="11"/>
        <v>59</v>
      </c>
      <c r="K65" s="3" t="str">
        <v>Tag: Gender Bending</v>
      </c>
      <c r="M65" s="3">
        <f t="shared" si="12"/>
        <v>59</v>
      </c>
      <c r="N65" s="3" t="str">
        <v>Studio: White Fox</v>
      </c>
      <c r="P65" s="3" t="str">
        <f t="shared" si="13"/>
        <v/>
      </c>
      <c r="Q65" s="3"/>
      <c r="S65" s="3" t="str">
        <f t="shared" si="14"/>
        <v/>
      </c>
      <c r="T65" s="3"/>
      <c r="V65" s="3" t="str">
        <f t="shared" si="15"/>
        <v/>
      </c>
      <c r="W65" s="3"/>
      <c r="Y65" s="3" t="str">
        <f t="shared" si="16"/>
        <v/>
      </c>
      <c r="Z65" s="3"/>
      <c r="AB65" s="3" t="str">
        <f t="shared" si="17"/>
        <v/>
      </c>
      <c r="AC65" s="3"/>
      <c r="AE65" s="3">
        <f t="shared" si="18"/>
        <v>59</v>
      </c>
      <c r="AF65" s="3" t="str">
        <v>Staff: Kiyotaka Kawada (Sound Effects)</v>
      </c>
      <c r="AH65" s="3">
        <f t="shared" si="9"/>
        <v>59</v>
      </c>
      <c r="AI65" s="3" t="str">
        <v>Staff Role: Main Animator</v>
      </c>
    </row>
    <row r="66" spans="1:35" x14ac:dyDescent="0.3">
      <c r="A66" t="s">
        <v>561</v>
      </c>
      <c r="B66" s="5">
        <v>75.294117647058798</v>
      </c>
      <c r="C66" s="9">
        <v>17</v>
      </c>
      <c r="D66" s="6">
        <v>2.3893183415319699E-3</v>
      </c>
      <c r="E66" s="7">
        <v>0.17990161630358301</v>
      </c>
      <c r="G66" s="3" t="str">
        <f t="shared" si="10"/>
        <v/>
      </c>
      <c r="H66" s="3"/>
      <c r="J66" s="3">
        <f t="shared" si="11"/>
        <v>60</v>
      </c>
      <c r="K66" s="3" t="str">
        <v>Tag: Historical</v>
      </c>
      <c r="M66" s="3">
        <f t="shared" si="12"/>
        <v>60</v>
      </c>
      <c r="N66" s="3" t="str">
        <v>Studio: CloverWorks</v>
      </c>
      <c r="P66" s="3" t="str">
        <f t="shared" si="13"/>
        <v/>
      </c>
      <c r="Q66" s="3"/>
      <c r="S66" s="3" t="str">
        <f t="shared" si="14"/>
        <v/>
      </c>
      <c r="T66" s="3"/>
      <c r="V66" s="3" t="str">
        <f t="shared" si="15"/>
        <v/>
      </c>
      <c r="W66" s="3"/>
      <c r="Y66" s="3" t="str">
        <f t="shared" si="16"/>
        <v/>
      </c>
      <c r="Z66" s="3"/>
      <c r="AB66" s="3" t="str">
        <f t="shared" si="17"/>
        <v/>
      </c>
      <c r="AC66" s="3"/>
      <c r="AE66" s="3">
        <f t="shared" si="18"/>
        <v>60</v>
      </c>
      <c r="AF66" s="3" t="str">
        <v>Staff: Atsushi Satou (Director of Photography)</v>
      </c>
      <c r="AH66" s="3">
        <f t="shared" si="9"/>
        <v>60</v>
      </c>
      <c r="AI66" s="3" t="str">
        <v>Staff Role: Episode Director (ep 2)</v>
      </c>
    </row>
    <row r="67" spans="1:35" x14ac:dyDescent="0.3">
      <c r="A67" t="s">
        <v>46</v>
      </c>
      <c r="B67" s="5">
        <v>74.705882352941103</v>
      </c>
      <c r="C67" s="9">
        <v>17</v>
      </c>
      <c r="D67" s="6">
        <v>2.3893183415319699E-3</v>
      </c>
      <c r="E67" s="7">
        <v>0.178496134926212</v>
      </c>
      <c r="G67" s="3" t="str">
        <f t="shared" si="10"/>
        <v/>
      </c>
      <c r="H67" s="3"/>
      <c r="J67" s="3">
        <f t="shared" si="11"/>
        <v>61</v>
      </c>
      <c r="K67" s="3" t="str">
        <v>Tag: Time Skip</v>
      </c>
      <c r="M67" s="3">
        <f t="shared" si="12"/>
        <v>61</v>
      </c>
      <c r="N67" s="3" t="str">
        <v>Studio: J.C. Staff</v>
      </c>
      <c r="P67" s="3" t="str">
        <f t="shared" si="13"/>
        <v/>
      </c>
      <c r="Q67" s="3"/>
      <c r="S67" s="3" t="str">
        <f t="shared" si="14"/>
        <v/>
      </c>
      <c r="T67" s="3"/>
      <c r="V67" s="3" t="str">
        <f t="shared" si="15"/>
        <v/>
      </c>
      <c r="W67" s="3"/>
      <c r="Y67" s="3" t="str">
        <f t="shared" si="16"/>
        <v/>
      </c>
      <c r="Z67" s="3"/>
      <c r="AB67" s="3" t="str">
        <f t="shared" si="17"/>
        <v/>
      </c>
      <c r="AC67" s="3"/>
      <c r="AE67" s="3">
        <f t="shared" si="18"/>
        <v>61</v>
      </c>
      <c r="AF67" s="3" t="str">
        <v>Staff: Reiko Yoshida (Series Composition)</v>
      </c>
      <c r="AH67" s="3">
        <f t="shared" si="9"/>
        <v>61</v>
      </c>
      <c r="AI67" s="3" t="str">
        <v>Staff Role: Episode Director (ep 6)</v>
      </c>
    </row>
    <row r="68" spans="1:35" x14ac:dyDescent="0.3">
      <c r="A68" t="s">
        <v>600</v>
      </c>
      <c r="B68" s="5">
        <v>72.941176470588204</v>
      </c>
      <c r="C68" s="9">
        <v>17</v>
      </c>
      <c r="D68" s="6">
        <v>2.3893183415319699E-3</v>
      </c>
      <c r="E68" s="7">
        <v>0.174279690794096</v>
      </c>
      <c r="G68" s="3" t="str">
        <f t="shared" si="10"/>
        <v/>
      </c>
      <c r="H68" s="3"/>
      <c r="J68" s="3">
        <f t="shared" si="11"/>
        <v>62</v>
      </c>
      <c r="K68" s="3" t="str">
        <v>Tag: Love Triangle</v>
      </c>
      <c r="M68" s="3">
        <f t="shared" si="12"/>
        <v>62</v>
      </c>
      <c r="N68" s="3" t="str">
        <v>Studio: DAX Production</v>
      </c>
      <c r="P68" s="3" t="str">
        <f t="shared" si="13"/>
        <v/>
      </c>
      <c r="Q68" s="3"/>
      <c r="S68" s="3" t="str">
        <f t="shared" si="14"/>
        <v/>
      </c>
      <c r="T68" s="3"/>
      <c r="V68" s="3" t="str">
        <f t="shared" si="15"/>
        <v/>
      </c>
      <c r="W68" s="3"/>
      <c r="Y68" s="3" t="str">
        <f t="shared" si="16"/>
        <v/>
      </c>
      <c r="Z68" s="3"/>
      <c r="AB68" s="3" t="str">
        <f t="shared" si="17"/>
        <v/>
      </c>
      <c r="AC68" s="3"/>
      <c r="AE68" s="3">
        <f t="shared" si="18"/>
        <v>62</v>
      </c>
      <c r="AF68" s="3" t="str">
        <v>Staff: Michiru (Music)</v>
      </c>
      <c r="AH68" s="3">
        <f t="shared" si="9"/>
        <v>62</v>
      </c>
      <c r="AI68" s="3" t="str">
        <v>Staff Role: Assistant ADR Director (English)</v>
      </c>
    </row>
    <row r="69" spans="1:35" x14ac:dyDescent="0.3">
      <c r="A69" t="s">
        <v>62</v>
      </c>
      <c r="B69" s="5">
        <v>76.25</v>
      </c>
      <c r="C69" s="9">
        <v>16</v>
      </c>
      <c r="D69" s="6">
        <v>2.2487702037947998E-3</v>
      </c>
      <c r="E69" s="7">
        <v>0.17146872803935301</v>
      </c>
      <c r="G69" s="3" t="str">
        <f t="shared" si="10"/>
        <v/>
      </c>
      <c r="H69" s="3"/>
      <c r="J69" s="3">
        <f t="shared" si="11"/>
        <v>63</v>
      </c>
      <c r="K69" s="3" t="str">
        <v>Tag: Military</v>
      </c>
      <c r="M69" s="3">
        <f t="shared" si="12"/>
        <v>63</v>
      </c>
      <c r="N69" s="3" t="str">
        <v>Studio: Nexus</v>
      </c>
      <c r="P69" s="3" t="str">
        <f t="shared" si="13"/>
        <v/>
      </c>
      <c r="Q69" s="3"/>
      <c r="S69" s="3" t="str">
        <f t="shared" si="14"/>
        <v/>
      </c>
      <c r="T69" s="3"/>
      <c r="V69" s="3" t="str">
        <f t="shared" si="15"/>
        <v/>
      </c>
      <c r="W69" s="3"/>
      <c r="Y69" s="3" t="str">
        <f t="shared" si="16"/>
        <v/>
      </c>
      <c r="Z69" s="3"/>
      <c r="AB69" s="3" t="str">
        <f t="shared" si="17"/>
        <v/>
      </c>
      <c r="AC69" s="3"/>
      <c r="AE69" s="3">
        <f t="shared" si="18"/>
        <v>63</v>
      </c>
      <c r="AF69" s="3" t="str">
        <v>Staff: Jukki Hanada (Series Composition)</v>
      </c>
      <c r="AH69" s="3">
        <f t="shared" si="9"/>
        <v>63</v>
      </c>
      <c r="AI69" s="3" t="str">
        <v>Staff Role: ADR Script Supervisor (English)</v>
      </c>
    </row>
    <row r="70" spans="1:35" x14ac:dyDescent="0.3">
      <c r="A70" t="s">
        <v>101</v>
      </c>
      <c r="B70" s="5">
        <v>75.625</v>
      </c>
      <c r="C70" s="9">
        <v>16</v>
      </c>
      <c r="D70" s="6">
        <v>2.2487702037947998E-3</v>
      </c>
      <c r="E70" s="7">
        <v>0.170063246661981</v>
      </c>
      <c r="G70" s="3" t="str">
        <f t="shared" si="10"/>
        <v/>
      </c>
      <c r="H70" s="3"/>
      <c r="J70" s="3">
        <f t="shared" si="11"/>
        <v>64</v>
      </c>
      <c r="K70" s="3" t="str">
        <v>Tag: Dissociative Identities</v>
      </c>
      <c r="M70" s="3">
        <f t="shared" si="12"/>
        <v>64</v>
      </c>
      <c r="N70" s="3" t="str">
        <v>Studio: CoMix Wave</v>
      </c>
      <c r="P70" s="3" t="str">
        <f t="shared" si="13"/>
        <v/>
      </c>
      <c r="Q70" s="3"/>
      <c r="S70" s="3" t="str">
        <f t="shared" si="14"/>
        <v/>
      </c>
      <c r="T70" s="3"/>
      <c r="V70" s="3" t="str">
        <f t="shared" si="15"/>
        <v/>
      </c>
      <c r="W70" s="3"/>
      <c r="Y70" s="3" t="str">
        <f t="shared" si="16"/>
        <v/>
      </c>
      <c r="Z70" s="3"/>
      <c r="AB70" s="3" t="str">
        <f t="shared" si="17"/>
        <v/>
      </c>
      <c r="AC70" s="3"/>
      <c r="AE70" s="3">
        <f t="shared" si="18"/>
        <v>64</v>
      </c>
      <c r="AF70" s="3" t="str">
        <v>Staff: Shigemi Ikeda (Art Director)</v>
      </c>
      <c r="AH70" s="3">
        <f t="shared" si="9"/>
        <v>64</v>
      </c>
      <c r="AI70" s="3" t="str">
        <v>Staff Role: Theme Song Performance (OP &amp; ED)</v>
      </c>
    </row>
    <row r="71" spans="1:35" x14ac:dyDescent="0.3">
      <c r="A71" t="s">
        <v>110</v>
      </c>
      <c r="B71" s="5">
        <v>73.75</v>
      </c>
      <c r="C71" s="9">
        <v>16</v>
      </c>
      <c r="D71" s="6">
        <v>2.2487702037947998E-3</v>
      </c>
      <c r="E71" s="7">
        <v>0.165846802529866</v>
      </c>
      <c r="G71" s="3" t="str">
        <f t="shared" si="10"/>
        <v/>
      </c>
      <c r="H71" s="3"/>
      <c r="J71" s="3">
        <f t="shared" si="11"/>
        <v>65</v>
      </c>
      <c r="K71" s="3" t="str">
        <v>Tag: Rehabilitation</v>
      </c>
      <c r="M71" s="3">
        <f t="shared" si="12"/>
        <v>65</v>
      </c>
      <c r="N71" s="3" t="str">
        <v>Studio: project No.9</v>
      </c>
      <c r="P71" s="3" t="str">
        <f t="shared" si="13"/>
        <v/>
      </c>
      <c r="Q71" s="3"/>
      <c r="S71" s="3" t="str">
        <f t="shared" si="14"/>
        <v/>
      </c>
      <c r="T71" s="3"/>
      <c r="V71" s="3" t="str">
        <f t="shared" si="15"/>
        <v/>
      </c>
      <c r="W71" s="3"/>
      <c r="Y71" s="3" t="str">
        <f t="shared" si="16"/>
        <v/>
      </c>
      <c r="Z71" s="3"/>
      <c r="AB71" s="3" t="str">
        <f t="shared" si="17"/>
        <v/>
      </c>
      <c r="AC71" s="3"/>
      <c r="AE71" s="3">
        <f t="shared" si="18"/>
        <v>65</v>
      </c>
      <c r="AF71" s="3" t="str">
        <v>Staff: Yukiko Maruyama (Art Director)</v>
      </c>
      <c r="AH71" s="3">
        <f t="shared" si="9"/>
        <v>65</v>
      </c>
      <c r="AI71" s="3" t="str">
        <v>Staff Role: Producer (English)</v>
      </c>
    </row>
    <row r="72" spans="1:35" x14ac:dyDescent="0.3">
      <c r="A72" t="s">
        <v>510</v>
      </c>
      <c r="B72" s="5">
        <v>71.875</v>
      </c>
      <c r="C72" s="9">
        <v>16</v>
      </c>
      <c r="D72" s="6">
        <v>2.2487702037947998E-3</v>
      </c>
      <c r="E72" s="7">
        <v>0.161630358397751</v>
      </c>
      <c r="G72" s="3" t="str">
        <f t="shared" si="10"/>
        <v/>
      </c>
      <c r="H72" s="3"/>
      <c r="J72" s="3">
        <f t="shared" si="11"/>
        <v>66</v>
      </c>
      <c r="K72" s="3" t="str">
        <v>Tag: War</v>
      </c>
      <c r="M72" s="3">
        <f t="shared" si="12"/>
        <v>66</v>
      </c>
      <c r="N72" s="3" t="str">
        <v>Studio: Kansai TV</v>
      </c>
      <c r="P72" s="3" t="str">
        <f t="shared" si="13"/>
        <v/>
      </c>
      <c r="Q72" s="3"/>
      <c r="S72" s="3" t="str">
        <f t="shared" si="14"/>
        <v/>
      </c>
      <c r="T72" s="3"/>
      <c r="V72" s="3" t="str">
        <f t="shared" si="15"/>
        <v/>
      </c>
      <c r="W72" s="3"/>
      <c r="Y72" s="3" t="str">
        <f t="shared" si="16"/>
        <v/>
      </c>
      <c r="Z72" s="3"/>
      <c r="AB72" s="3" t="str">
        <f t="shared" si="17"/>
        <v/>
      </c>
      <c r="AC72" s="3"/>
      <c r="AE72" s="3">
        <f t="shared" si="18"/>
        <v>66</v>
      </c>
      <c r="AF72" s="3" t="str">
        <v>Staff: Hisayo Usui (Art Director)</v>
      </c>
      <c r="AH72" s="3">
        <f t="shared" ref="AH72:AH135" si="19">IF(NOT(ISBLANK(AI72)),IF(NOT(ISNUMBER(AH71)),1,AH71+1),"")</f>
        <v>66</v>
      </c>
      <c r="AI72" s="3" t="str">
        <v>Staff Role: Associate Producer</v>
      </c>
    </row>
    <row r="73" spans="1:35" x14ac:dyDescent="0.3">
      <c r="A73" t="s">
        <v>33</v>
      </c>
      <c r="B73" s="5">
        <v>76</v>
      </c>
      <c r="C73" s="9">
        <v>15</v>
      </c>
      <c r="D73" s="6">
        <v>2.1082220660576202E-3</v>
      </c>
      <c r="E73" s="7">
        <v>0.16022487702037899</v>
      </c>
      <c r="G73" s="3" t="str">
        <f t="shared" si="10"/>
        <v/>
      </c>
      <c r="H73" s="3"/>
      <c r="J73" s="3">
        <f t="shared" si="11"/>
        <v>67</v>
      </c>
      <c r="K73" s="3" t="str">
        <v>Tag: Environmental</v>
      </c>
      <c r="M73" s="3">
        <f t="shared" si="12"/>
        <v>67</v>
      </c>
      <c r="N73" s="3" t="str">
        <v>Studio: TOKYO MX</v>
      </c>
      <c r="P73" s="3" t="str">
        <f t="shared" si="13"/>
        <v/>
      </c>
      <c r="Q73" s="3"/>
      <c r="S73" s="3" t="str">
        <f t="shared" si="14"/>
        <v/>
      </c>
      <c r="T73" s="3"/>
      <c r="V73" s="3" t="str">
        <f t="shared" si="15"/>
        <v/>
      </c>
      <c r="W73" s="3"/>
      <c r="Y73" s="3" t="str">
        <f t="shared" si="16"/>
        <v/>
      </c>
      <c r="Z73" s="3"/>
      <c r="AB73" s="3" t="str">
        <f t="shared" si="17"/>
        <v/>
      </c>
      <c r="AC73" s="3"/>
      <c r="AE73" s="3">
        <f t="shared" si="18"/>
        <v>67</v>
      </c>
      <c r="AF73" s="3" t="str">
        <v>Staff: Yayoi Tateishi (Sound Director)</v>
      </c>
      <c r="AH73" s="3">
        <f t="shared" si="19"/>
        <v>67</v>
      </c>
      <c r="AI73" s="3" t="str">
        <v>Staff Role: Animation Director (ep 5)</v>
      </c>
    </row>
    <row r="74" spans="1:35" x14ac:dyDescent="0.3">
      <c r="A74" t="s">
        <v>509</v>
      </c>
      <c r="B74" s="5">
        <v>76</v>
      </c>
      <c r="C74" s="9">
        <v>15</v>
      </c>
      <c r="D74" s="6">
        <v>2.1082220660576202E-3</v>
      </c>
      <c r="E74" s="7">
        <v>0.16022487702037899</v>
      </c>
      <c r="G74" s="3" t="str">
        <f t="shared" si="10"/>
        <v/>
      </c>
      <c r="H74" s="3"/>
      <c r="J74" s="3">
        <f t="shared" si="11"/>
        <v>68</v>
      </c>
      <c r="K74" s="3" t="str">
        <v>Tag: Female Harem</v>
      </c>
      <c r="M74" s="3">
        <f t="shared" si="12"/>
        <v>68</v>
      </c>
      <c r="N74" s="3" t="str">
        <v>Studio: BS11</v>
      </c>
      <c r="P74" s="3" t="str">
        <f t="shared" si="13"/>
        <v/>
      </c>
      <c r="Q74" s="3"/>
      <c r="S74" s="3" t="str">
        <f t="shared" si="14"/>
        <v/>
      </c>
      <c r="T74" s="3"/>
      <c r="V74" s="3" t="str">
        <f t="shared" si="15"/>
        <v/>
      </c>
      <c r="W74" s="3"/>
      <c r="Y74" s="3" t="str">
        <f t="shared" si="16"/>
        <v/>
      </c>
      <c r="Z74" s="3"/>
      <c r="AB74" s="3" t="str">
        <f t="shared" si="17"/>
        <v/>
      </c>
      <c r="AC74" s="3"/>
      <c r="AE74" s="3">
        <f t="shared" si="18"/>
        <v>68</v>
      </c>
      <c r="AF74" s="3" t="str">
        <v>Staff: Kenta Suzuki (Producer)</v>
      </c>
      <c r="AH74" s="3">
        <f t="shared" si="19"/>
        <v>68</v>
      </c>
      <c r="AI74" s="3" t="str">
        <v>Staff Role: Episode Director (ep 8)</v>
      </c>
    </row>
    <row r="75" spans="1:35" x14ac:dyDescent="0.3">
      <c r="A75" t="s">
        <v>41</v>
      </c>
      <c r="B75" s="5">
        <v>74</v>
      </c>
      <c r="C75" s="9">
        <v>15</v>
      </c>
      <c r="D75" s="6">
        <v>2.1082220660576202E-3</v>
      </c>
      <c r="E75" s="7">
        <v>0.15600843288826399</v>
      </c>
      <c r="G75" s="3" t="str">
        <f t="shared" si="10"/>
        <v/>
      </c>
      <c r="H75" s="3"/>
      <c r="J75" s="3">
        <f t="shared" si="11"/>
        <v>69</v>
      </c>
      <c r="K75" s="3" t="str">
        <v>Tag: Body Horror</v>
      </c>
      <c r="M75" s="3">
        <f t="shared" si="12"/>
        <v>69</v>
      </c>
      <c r="N75" s="3" t="str">
        <v>Studio: Audio Highs</v>
      </c>
      <c r="P75" s="3" t="str">
        <f t="shared" si="13"/>
        <v/>
      </c>
      <c r="Q75" s="3"/>
      <c r="S75" s="3" t="str">
        <f t="shared" si="14"/>
        <v/>
      </c>
      <c r="T75" s="3"/>
      <c r="V75" s="3" t="str">
        <f t="shared" si="15"/>
        <v/>
      </c>
      <c r="W75" s="3"/>
      <c r="Y75" s="3" t="str">
        <f t="shared" si="16"/>
        <v/>
      </c>
      <c r="Z75" s="3"/>
      <c r="AB75" s="3" t="str">
        <f t="shared" si="17"/>
        <v/>
      </c>
      <c r="AC75" s="3"/>
      <c r="AE75" s="3">
        <f t="shared" si="18"/>
        <v>69</v>
      </c>
      <c r="AF75" s="3" t="str">
        <v>Staff: Yoshimasa Hiraike (Series Composition)</v>
      </c>
      <c r="AH75" s="3">
        <f t="shared" si="19"/>
        <v>69</v>
      </c>
      <c r="AI75" s="3" t="str">
        <v>Staff Role: Script (eps 1-12)</v>
      </c>
    </row>
    <row r="76" spans="1:35" x14ac:dyDescent="0.3">
      <c r="A76" t="s">
        <v>61</v>
      </c>
      <c r="B76" s="5">
        <v>77.857142857142804</v>
      </c>
      <c r="C76" s="9">
        <v>14</v>
      </c>
      <c r="D76" s="6">
        <v>1.9676739283204401E-3</v>
      </c>
      <c r="E76" s="7">
        <v>0.15319747013352</v>
      </c>
      <c r="G76" s="3" t="str">
        <f t="shared" si="10"/>
        <v/>
      </c>
      <c r="H76" s="3"/>
      <c r="J76" s="3">
        <f t="shared" si="11"/>
        <v>70</v>
      </c>
      <c r="K76" s="3" t="str">
        <v>Tag: Bullying</v>
      </c>
      <c r="M76" s="3">
        <f t="shared" si="12"/>
        <v>70</v>
      </c>
      <c r="N76" s="3" t="str">
        <v>Studio: Miracle Robo</v>
      </c>
      <c r="P76" s="3" t="str">
        <f t="shared" si="13"/>
        <v/>
      </c>
      <c r="Q76" s="3"/>
      <c r="S76" s="3" t="str">
        <f t="shared" si="14"/>
        <v/>
      </c>
      <c r="T76" s="3"/>
      <c r="V76" s="3" t="str">
        <f t="shared" si="15"/>
        <v/>
      </c>
      <c r="W76" s="3"/>
      <c r="Y76" s="3" t="str">
        <f t="shared" si="16"/>
        <v/>
      </c>
      <c r="Z76" s="3"/>
      <c r="AB76" s="3" t="str">
        <f t="shared" si="17"/>
        <v/>
      </c>
      <c r="AC76" s="3"/>
      <c r="AE76" s="3">
        <f t="shared" si="18"/>
        <v>70</v>
      </c>
      <c r="AF76" s="3" t="str">
        <v>Staff: Takao Yoshioka (Series Composition)</v>
      </c>
      <c r="AH76" s="3">
        <f t="shared" si="19"/>
        <v>70</v>
      </c>
      <c r="AI76" s="3" t="str">
        <v>Staff Role: Storyboard (ep 4)</v>
      </c>
    </row>
    <row r="77" spans="1:35" x14ac:dyDescent="0.3">
      <c r="A77" t="s">
        <v>45</v>
      </c>
      <c r="B77" s="5">
        <v>77.142857142857096</v>
      </c>
      <c r="C77" s="9">
        <v>14</v>
      </c>
      <c r="D77" s="6">
        <v>1.9676739283204401E-3</v>
      </c>
      <c r="E77" s="7">
        <v>0.15179198875614799</v>
      </c>
      <c r="G77" s="3" t="str">
        <f t="shared" si="10"/>
        <v/>
      </c>
      <c r="H77" s="3"/>
      <c r="J77" s="3">
        <f t="shared" si="11"/>
        <v>71</v>
      </c>
      <c r="K77" s="3" t="str">
        <v>Tag: Twins</v>
      </c>
      <c r="M77" s="3">
        <f t="shared" si="12"/>
        <v>71</v>
      </c>
      <c r="N77" s="3" t="str">
        <v>Studio: C-Station</v>
      </c>
      <c r="P77" s="3" t="str">
        <f t="shared" si="13"/>
        <v/>
      </c>
      <c r="Q77" s="3"/>
      <c r="S77" s="3" t="str">
        <f t="shared" si="14"/>
        <v/>
      </c>
      <c r="T77" s="3"/>
      <c r="V77" s="3" t="str">
        <f t="shared" si="15"/>
        <v/>
      </c>
      <c r="W77" s="3"/>
      <c r="Y77" s="3" t="str">
        <f t="shared" si="16"/>
        <v/>
      </c>
      <c r="Z77" s="3"/>
      <c r="AB77" s="3" t="str">
        <f t="shared" si="17"/>
        <v/>
      </c>
      <c r="AC77" s="3"/>
      <c r="AE77" s="3">
        <f t="shared" si="18"/>
        <v>71</v>
      </c>
      <c r="AF77" s="3" t="str">
        <v>Staff:  MONACA (Music)</v>
      </c>
      <c r="AH77" s="3">
        <f t="shared" si="19"/>
        <v>71</v>
      </c>
      <c r="AI77" s="3" t="str">
        <v>Staff Role: Insert Song Performance</v>
      </c>
    </row>
    <row r="78" spans="1:35" x14ac:dyDescent="0.3">
      <c r="A78" t="s">
        <v>35</v>
      </c>
      <c r="B78" s="5">
        <v>75.714285714285694</v>
      </c>
      <c r="C78" s="9">
        <v>14</v>
      </c>
      <c r="D78" s="6">
        <v>1.9676739283204401E-3</v>
      </c>
      <c r="E78" s="7">
        <v>0.148981026001405</v>
      </c>
      <c r="G78" s="3" t="str">
        <f t="shared" si="10"/>
        <v/>
      </c>
      <c r="H78" s="3"/>
      <c r="J78" s="3">
        <f t="shared" si="11"/>
        <v>72</v>
      </c>
      <c r="K78" s="3" t="str">
        <v>Tag: Elf</v>
      </c>
      <c r="M78" s="3">
        <f t="shared" si="12"/>
        <v>72</v>
      </c>
      <c r="N78" s="3" t="str">
        <v>Studio: Happinet Pictures</v>
      </c>
      <c r="P78" s="3" t="str">
        <f t="shared" si="13"/>
        <v/>
      </c>
      <c r="Q78" s="3"/>
      <c r="S78" s="3" t="str">
        <f t="shared" si="14"/>
        <v/>
      </c>
      <c r="T78" s="3"/>
      <c r="V78" s="3" t="str">
        <f t="shared" si="15"/>
        <v/>
      </c>
      <c r="W78" s="3"/>
      <c r="Y78" s="3" t="str">
        <f t="shared" si="16"/>
        <v/>
      </c>
      <c r="Z78" s="3"/>
      <c r="AB78" s="3" t="str">
        <f t="shared" si="17"/>
        <v/>
      </c>
      <c r="AC78" s="3"/>
      <c r="AE78" s="3">
        <f t="shared" si="18"/>
        <v>72</v>
      </c>
      <c r="AF78" s="3" t="str">
        <v>Staff: Masakazu Ishikawa (Character Design)</v>
      </c>
      <c r="AH78" s="3">
        <f t="shared" si="19"/>
        <v>72</v>
      </c>
      <c r="AI78" s="3" t="str">
        <v>Staff Role: Key Animation (ep 12)</v>
      </c>
    </row>
    <row r="79" spans="1:35" x14ac:dyDescent="0.3">
      <c r="A79" t="s">
        <v>77</v>
      </c>
      <c r="B79" s="5">
        <v>75.714285714285694</v>
      </c>
      <c r="C79" s="9">
        <v>14</v>
      </c>
      <c r="D79" s="6">
        <v>1.9676739283204401E-3</v>
      </c>
      <c r="E79" s="7">
        <v>0.148981026001405</v>
      </c>
      <c r="G79" s="3" t="str">
        <f t="shared" si="10"/>
        <v/>
      </c>
      <c r="H79" s="3"/>
      <c r="J79" s="3">
        <f t="shared" si="11"/>
        <v>73</v>
      </c>
      <c r="K79" s="3" t="str">
        <v>Tag: Fishing</v>
      </c>
      <c r="M79" s="3">
        <f t="shared" si="12"/>
        <v>73</v>
      </c>
      <c r="N79" s="3" t="str">
        <v>Studio: bones</v>
      </c>
      <c r="P79" s="3" t="str">
        <f t="shared" si="13"/>
        <v/>
      </c>
      <c r="Q79" s="3"/>
      <c r="S79" s="3" t="str">
        <f t="shared" si="14"/>
        <v/>
      </c>
      <c r="T79" s="3"/>
      <c r="V79" s="3" t="str">
        <f t="shared" si="15"/>
        <v/>
      </c>
      <c r="W79" s="3"/>
      <c r="Y79" s="3" t="str">
        <f t="shared" si="16"/>
        <v/>
      </c>
      <c r="Z79" s="3"/>
      <c r="AB79" s="3" t="str">
        <f t="shared" si="17"/>
        <v/>
      </c>
      <c r="AC79" s="3"/>
      <c r="AE79" s="3">
        <f t="shared" si="18"/>
        <v>73</v>
      </c>
      <c r="AF79" s="3" t="str">
        <v>Staff: Yuuji Oka (Editing)</v>
      </c>
      <c r="AH79" s="3">
        <f t="shared" si="19"/>
        <v>73</v>
      </c>
      <c r="AI79" s="3" t="str">
        <v>Staff Role: Script (eps 1-13)</v>
      </c>
    </row>
    <row r="80" spans="1:35" x14ac:dyDescent="0.3">
      <c r="A80" t="s">
        <v>494</v>
      </c>
      <c r="B80" s="5">
        <v>75.714285714285694</v>
      </c>
      <c r="C80" s="9">
        <v>14</v>
      </c>
      <c r="D80" s="6">
        <v>1.9676739283204401E-3</v>
      </c>
      <c r="E80" s="7">
        <v>0.148981026001405</v>
      </c>
      <c r="G80" s="3" t="str">
        <f t="shared" si="10"/>
        <v/>
      </c>
      <c r="H80" s="3"/>
      <c r="J80" s="3">
        <f t="shared" si="11"/>
        <v>74</v>
      </c>
      <c r="K80" s="3" t="str">
        <v>Tag: Rural</v>
      </c>
      <c r="M80" s="3">
        <f t="shared" si="12"/>
        <v>74</v>
      </c>
      <c r="N80" s="3" t="str">
        <v>Studio: Zero-G</v>
      </c>
      <c r="P80" s="3" t="str">
        <f t="shared" si="13"/>
        <v/>
      </c>
      <c r="Q80" s="3"/>
      <c r="S80" s="3" t="str">
        <f t="shared" si="14"/>
        <v/>
      </c>
      <c r="T80" s="3"/>
      <c r="V80" s="3" t="str">
        <f t="shared" si="15"/>
        <v/>
      </c>
      <c r="W80" s="3"/>
      <c r="Y80" s="3" t="str">
        <f t="shared" si="16"/>
        <v/>
      </c>
      <c r="Z80" s="3"/>
      <c r="AB80" s="3" t="str">
        <f t="shared" si="17"/>
        <v/>
      </c>
      <c r="AC80" s="3"/>
      <c r="AE80" s="3">
        <f t="shared" si="18"/>
        <v>74</v>
      </c>
      <c r="AF80" s="3" t="str">
        <v>Staff: Satoki Iida (Sound Director)</v>
      </c>
      <c r="AH80" s="3">
        <f t="shared" si="19"/>
        <v>74</v>
      </c>
      <c r="AI80" s="3" t="str">
        <v>Staff Role: Storyboard (ep 5)</v>
      </c>
    </row>
    <row r="81" spans="1:35" x14ac:dyDescent="0.3">
      <c r="A81" t="s">
        <v>275</v>
      </c>
      <c r="B81" s="5">
        <v>80</v>
      </c>
      <c r="C81" s="9">
        <v>13</v>
      </c>
      <c r="D81" s="6">
        <v>1.82712579058327E-3</v>
      </c>
      <c r="E81" s="7">
        <v>0.14617006324666099</v>
      </c>
      <c r="G81" s="3" t="str">
        <f t="shared" si="10"/>
        <v/>
      </c>
      <c r="H81" s="3"/>
      <c r="J81" s="3">
        <f t="shared" si="11"/>
        <v>75</v>
      </c>
      <c r="K81" s="3" t="str">
        <v>Tag: Disability</v>
      </c>
      <c r="M81" s="3">
        <f t="shared" si="12"/>
        <v>75</v>
      </c>
      <c r="N81" s="3" t="str">
        <v>Studio: Avex Entertainment</v>
      </c>
      <c r="P81" s="3" t="str">
        <f t="shared" si="13"/>
        <v/>
      </c>
      <c r="Q81" s="3"/>
      <c r="S81" s="3" t="str">
        <f t="shared" si="14"/>
        <v/>
      </c>
      <c r="T81" s="3"/>
      <c r="V81" s="3" t="str">
        <f t="shared" si="15"/>
        <v/>
      </c>
      <c r="W81" s="3"/>
      <c r="Y81" s="3" t="str">
        <f t="shared" si="16"/>
        <v/>
      </c>
      <c r="Z81" s="3"/>
      <c r="AB81" s="3" t="str">
        <f t="shared" si="17"/>
        <v/>
      </c>
      <c r="AC81" s="3"/>
      <c r="AE81" s="3">
        <f t="shared" si="18"/>
        <v>75</v>
      </c>
      <c r="AF81" s="3" t="str">
        <v>Staff: John Ledford (Executive Producer (English))</v>
      </c>
      <c r="AH81" s="3">
        <f t="shared" si="19"/>
        <v>75</v>
      </c>
      <c r="AI81" s="3" t="str">
        <v>Staff Role: Key Animation  (ep 6)</v>
      </c>
    </row>
    <row r="82" spans="1:35" x14ac:dyDescent="0.3">
      <c r="A82" t="s">
        <v>89</v>
      </c>
      <c r="B82" s="5">
        <v>73.571428571428498</v>
      </c>
      <c r="C82" s="9">
        <v>14</v>
      </c>
      <c r="D82" s="6">
        <v>1.9676739283204401E-3</v>
      </c>
      <c r="E82" s="7">
        <v>0.14476458186929</v>
      </c>
      <c r="G82" s="3" t="str">
        <f t="shared" si="10"/>
        <v/>
      </c>
      <c r="H82" s="3"/>
      <c r="J82" s="3">
        <f t="shared" si="11"/>
        <v>76</v>
      </c>
      <c r="K82" s="3" t="str">
        <v>Tag: Satire</v>
      </c>
      <c r="M82" s="3">
        <f t="shared" si="12"/>
        <v>76</v>
      </c>
      <c r="N82" s="3" t="str">
        <v>Studio: Studio DEEN</v>
      </c>
      <c r="P82" s="3" t="str">
        <f t="shared" si="13"/>
        <v/>
      </c>
      <c r="Q82" s="3"/>
      <c r="S82" s="3" t="str">
        <f t="shared" si="14"/>
        <v/>
      </c>
      <c r="T82" s="3"/>
      <c r="V82" s="3" t="str">
        <f t="shared" si="15"/>
        <v/>
      </c>
      <c r="W82" s="3"/>
      <c r="Y82" s="3" t="str">
        <f t="shared" si="16"/>
        <v/>
      </c>
      <c r="Z82" s="3"/>
      <c r="AB82" s="3" t="str">
        <f t="shared" si="17"/>
        <v/>
      </c>
      <c r="AC82" s="3"/>
      <c r="AE82" s="3">
        <f t="shared" si="18"/>
        <v>76</v>
      </c>
      <c r="AF82" s="3" t="str">
        <v>Staff: Tomoki Kikuya (Music)</v>
      </c>
      <c r="AH82" s="3">
        <f t="shared" si="19"/>
        <v>76</v>
      </c>
      <c r="AI82" s="3" t="str">
        <v>Staff Role: Creature Design</v>
      </c>
    </row>
    <row r="83" spans="1:35" x14ac:dyDescent="0.3">
      <c r="A83" t="s">
        <v>109</v>
      </c>
      <c r="B83" s="5">
        <v>78.461538461538396</v>
      </c>
      <c r="C83" s="9">
        <v>13</v>
      </c>
      <c r="D83" s="6">
        <v>1.82712579058327E-3</v>
      </c>
      <c r="E83" s="7">
        <v>0.143359100491918</v>
      </c>
      <c r="G83" s="3" t="str">
        <f t="shared" si="10"/>
        <v/>
      </c>
      <c r="H83" s="3"/>
      <c r="J83" s="3">
        <f t="shared" si="11"/>
        <v>77</v>
      </c>
      <c r="K83" s="3" t="str">
        <v>Tag: Samurai</v>
      </c>
      <c r="M83" s="3">
        <f t="shared" si="12"/>
        <v>77</v>
      </c>
      <c r="N83" s="3" t="str">
        <v>Studio: BANDAI SPIRITS</v>
      </c>
      <c r="P83" s="3" t="str">
        <f t="shared" si="13"/>
        <v/>
      </c>
      <c r="Q83" s="3"/>
      <c r="S83" s="3" t="str">
        <f t="shared" si="14"/>
        <v/>
      </c>
      <c r="T83" s="3"/>
      <c r="V83" s="3" t="str">
        <f t="shared" si="15"/>
        <v/>
      </c>
      <c r="W83" s="3"/>
      <c r="Y83" s="3" t="str">
        <f t="shared" si="16"/>
        <v/>
      </c>
      <c r="Z83" s="3"/>
      <c r="AB83" s="3" t="str">
        <f t="shared" si="17"/>
        <v/>
      </c>
      <c r="AC83" s="3"/>
      <c r="AE83" s="3">
        <f t="shared" si="18"/>
        <v>77</v>
      </c>
      <c r="AF83" s="3" t="str">
        <v>Staff: Hideki Shirane (Series Composition)</v>
      </c>
      <c r="AH83" s="3">
        <f t="shared" si="19"/>
        <v>77</v>
      </c>
      <c r="AI83" s="3" t="str">
        <v>Staff Role: Theme Song Performance (ED1)</v>
      </c>
    </row>
    <row r="84" spans="1:35" x14ac:dyDescent="0.3">
      <c r="A84" t="s">
        <v>14</v>
      </c>
      <c r="B84" s="5">
        <v>77.692307692307693</v>
      </c>
      <c r="C84" s="9">
        <v>13</v>
      </c>
      <c r="D84" s="6">
        <v>1.82712579058327E-3</v>
      </c>
      <c r="E84" s="7">
        <v>0.14195361911454599</v>
      </c>
      <c r="G84" s="3" t="str">
        <f t="shared" si="10"/>
        <v/>
      </c>
      <c r="H84" s="3"/>
      <c r="J84" s="3">
        <f t="shared" si="11"/>
        <v>78</v>
      </c>
      <c r="K84" s="3" t="str">
        <v>Tag: Adoption</v>
      </c>
      <c r="M84" s="3">
        <f t="shared" si="12"/>
        <v>78</v>
      </c>
      <c r="N84" s="3" t="str">
        <v>Studio: Lerche</v>
      </c>
      <c r="P84" s="3" t="str">
        <f t="shared" si="13"/>
        <v/>
      </c>
      <c r="Q84" s="3"/>
      <c r="S84" s="3" t="str">
        <f t="shared" si="14"/>
        <v/>
      </c>
      <c r="T84" s="3"/>
      <c r="V84" s="3" t="str">
        <f t="shared" si="15"/>
        <v/>
      </c>
      <c r="W84" s="3"/>
      <c r="Y84" s="3" t="str">
        <f t="shared" si="16"/>
        <v/>
      </c>
      <c r="Z84" s="3"/>
      <c r="AB84" s="3" t="str">
        <f t="shared" si="17"/>
        <v/>
      </c>
      <c r="AC84" s="3"/>
      <c r="AE84" s="3">
        <f t="shared" si="18"/>
        <v>78</v>
      </c>
      <c r="AF84" s="3" t="str">
        <v>Staff: Jun Maeda (Music)</v>
      </c>
      <c r="AH84" s="3">
        <f t="shared" si="19"/>
        <v>78</v>
      </c>
      <c r="AI84" s="3" t="str">
        <v>Staff Role: Episode Director (ep 3)</v>
      </c>
    </row>
    <row r="85" spans="1:35" x14ac:dyDescent="0.3">
      <c r="A85" t="s">
        <v>693</v>
      </c>
      <c r="B85" s="5">
        <v>72.142857142857096</v>
      </c>
      <c r="C85" s="9">
        <v>14</v>
      </c>
      <c r="D85" s="6">
        <v>1.9676739283204401E-3</v>
      </c>
      <c r="E85" s="7">
        <v>0.14195361911454599</v>
      </c>
      <c r="G85" s="3" t="str">
        <f t="shared" si="10"/>
        <v/>
      </c>
      <c r="H85" s="3"/>
      <c r="J85" s="3">
        <f t="shared" si="11"/>
        <v>79</v>
      </c>
      <c r="K85" s="3" t="str">
        <v>Tag: Alternate Universe</v>
      </c>
      <c r="M85" s="3">
        <f t="shared" si="12"/>
        <v>79</v>
      </c>
      <c r="N85" s="3" t="str">
        <v>Studio: NIS America Inc.</v>
      </c>
      <c r="P85" s="3" t="str">
        <f t="shared" si="13"/>
        <v/>
      </c>
      <c r="Q85" s="3"/>
      <c r="S85" s="3" t="str">
        <f t="shared" si="14"/>
        <v/>
      </c>
      <c r="T85" s="3"/>
      <c r="V85" s="3" t="str">
        <f t="shared" si="15"/>
        <v/>
      </c>
      <c r="W85" s="3"/>
      <c r="Y85" s="3" t="str">
        <f t="shared" si="16"/>
        <v/>
      </c>
      <c r="Z85" s="3"/>
      <c r="AB85" s="3" t="str">
        <f t="shared" si="17"/>
        <v/>
      </c>
      <c r="AC85" s="3"/>
      <c r="AE85" s="3">
        <f t="shared" si="18"/>
        <v>79</v>
      </c>
      <c r="AF85" s="3" t="str">
        <v>Staff: Jun Maeda (Theme Song Lyrics (OP))</v>
      </c>
      <c r="AH85" s="3">
        <f t="shared" si="19"/>
        <v>79</v>
      </c>
      <c r="AI85" s="3" t="str">
        <v>Staff Role: Executive Producer</v>
      </c>
    </row>
    <row r="86" spans="1:35" x14ac:dyDescent="0.3">
      <c r="A86" t="s">
        <v>70</v>
      </c>
      <c r="B86" s="5">
        <v>76.923076923076906</v>
      </c>
      <c r="C86" s="9">
        <v>13</v>
      </c>
      <c r="D86" s="6">
        <v>1.82712579058327E-3</v>
      </c>
      <c r="E86" s="7">
        <v>0.14054813773717401</v>
      </c>
      <c r="G86" s="3" t="str">
        <f t="shared" si="10"/>
        <v/>
      </c>
      <c r="H86" s="3"/>
      <c r="J86" s="3">
        <f t="shared" si="11"/>
        <v>80</v>
      </c>
      <c r="K86" s="3" t="str">
        <v>Tag: Nekomimi</v>
      </c>
      <c r="M86" s="3">
        <f t="shared" si="12"/>
        <v>80</v>
      </c>
      <c r="N86" s="3" t="str">
        <v>Studio: Nippon Columbia</v>
      </c>
      <c r="P86" s="3" t="str">
        <f t="shared" si="13"/>
        <v/>
      </c>
      <c r="Q86" s="3"/>
      <c r="S86" s="3" t="str">
        <f t="shared" si="14"/>
        <v/>
      </c>
      <c r="T86" s="3"/>
      <c r="V86" s="3" t="str">
        <f t="shared" si="15"/>
        <v/>
      </c>
      <c r="W86" s="3"/>
      <c r="Y86" s="3" t="str">
        <f t="shared" si="16"/>
        <v/>
      </c>
      <c r="Z86" s="3"/>
      <c r="AB86" s="3" t="str">
        <f t="shared" si="17"/>
        <v/>
      </c>
      <c r="AC86" s="3"/>
      <c r="AE86" s="3">
        <f t="shared" si="18"/>
        <v>80</v>
      </c>
      <c r="AF86" s="3" t="str">
        <v>Staff: Jun Maeda (Theme Song Composition (OP))</v>
      </c>
      <c r="AH86" s="3">
        <f t="shared" si="19"/>
        <v>80</v>
      </c>
      <c r="AI86" s="3" t="str">
        <v>Staff Role: Episode Director (ep 11)</v>
      </c>
    </row>
    <row r="87" spans="1:35" x14ac:dyDescent="0.3">
      <c r="A87" t="s">
        <v>145</v>
      </c>
      <c r="B87" s="5">
        <v>71.428571428571402</v>
      </c>
      <c r="C87" s="9">
        <v>14</v>
      </c>
      <c r="D87" s="6">
        <v>1.9676739283204401E-3</v>
      </c>
      <c r="E87" s="7">
        <v>0.14054813773717401</v>
      </c>
      <c r="G87" s="3" t="str">
        <f t="shared" ref="G87:G150" si="20">IF(NOT(ISBLANK(H87)),IF(NOT(ISNUMBER(G86)),1,G86+1),"")</f>
        <v/>
      </c>
      <c r="H87" s="3"/>
      <c r="J87" s="3">
        <f t="shared" ref="J87:J150" si="21">IF(NOT(ISBLANK(K87)),IF(NOT(ISNUMBER(J86)),1,J86+1),"")</f>
        <v>81</v>
      </c>
      <c r="K87" s="3" t="str">
        <v>Tag: Tanned Skin</v>
      </c>
      <c r="M87" s="3">
        <f t="shared" ref="M87:M150" si="22">IF(NOT(ISBLANK(N87)),IF(NOT(ISNUMBER(M86)),1,M86+1),"")</f>
        <v>81</v>
      </c>
      <c r="N87" s="3" t="str">
        <v>Studio: Sammy</v>
      </c>
      <c r="P87" s="3" t="str">
        <f t="shared" ref="P87:P150" si="23">IF(NOT(ISBLANK(Q87)),IF(NOT(ISNUMBER(P86)),1,P86+1),"")</f>
        <v/>
      </c>
      <c r="Q87" s="3"/>
      <c r="S87" s="3" t="str">
        <f t="shared" ref="S87:S150" si="24">IF(NOT(ISBLANK(T87)),IF(NOT(ISNUMBER(S86)),1,S86+1),"")</f>
        <v/>
      </c>
      <c r="T87" s="3"/>
      <c r="V87" s="3" t="str">
        <f t="shared" ref="V87:V150" si="25">IF(NOT(ISBLANK(W87)),IF(NOT(ISNUMBER(V86)),1,V86+1),"")</f>
        <v/>
      </c>
      <c r="W87" s="3"/>
      <c r="Y87" s="3" t="str">
        <f t="shared" ref="Y87:Y150" si="26">IF(NOT(ISBLANK(Z87)),IF(NOT(ISNUMBER(Y86)),1,Y86+1),"")</f>
        <v/>
      </c>
      <c r="Z87" s="3"/>
      <c r="AB87" s="3" t="str">
        <f t="shared" ref="AB87:AB150" si="27">IF(NOT(ISBLANK(AC87)),IF(NOT(ISNUMBER(AB86)),1,AB86+1),"")</f>
        <v/>
      </c>
      <c r="AC87" s="3"/>
      <c r="AE87" s="3">
        <f t="shared" ref="AE87:AE150" si="28">IF(NOT(ISBLANK(AF87)),IF(NOT(ISNUMBER(AE86)),1,AE86+1),"")</f>
        <v>81</v>
      </c>
      <c r="AF87" s="3" t="str">
        <v>Staff: Kentarou Tsubone (Editing)</v>
      </c>
      <c r="AH87" s="3">
        <f t="shared" si="19"/>
        <v>81</v>
      </c>
      <c r="AI87" s="3" t="str">
        <v>Staff Role: Storyboard (OP)</v>
      </c>
    </row>
    <row r="88" spans="1:35" x14ac:dyDescent="0.3">
      <c r="A88" t="s">
        <v>297</v>
      </c>
      <c r="B88" s="5">
        <v>76.923076923076906</v>
      </c>
      <c r="C88" s="9">
        <v>13</v>
      </c>
      <c r="D88" s="6">
        <v>1.82712579058327E-3</v>
      </c>
      <c r="E88" s="7">
        <v>0.14054813773717401</v>
      </c>
      <c r="G88" s="3" t="str">
        <f t="shared" si="20"/>
        <v/>
      </c>
      <c r="H88" s="3"/>
      <c r="J88" s="3">
        <f t="shared" si="21"/>
        <v>82</v>
      </c>
      <c r="K88" s="3" t="str">
        <v>Tag: Chuunibyou</v>
      </c>
      <c r="M88" s="3">
        <f t="shared" si="22"/>
        <v>82</v>
      </c>
      <c r="N88" s="3" t="str">
        <v>Studio: Docomo Anime Store</v>
      </c>
      <c r="P88" s="3" t="str">
        <f t="shared" si="23"/>
        <v/>
      </c>
      <c r="Q88" s="3"/>
      <c r="S88" s="3" t="str">
        <f t="shared" si="24"/>
        <v/>
      </c>
      <c r="T88" s="3"/>
      <c r="V88" s="3" t="str">
        <f t="shared" si="25"/>
        <v/>
      </c>
      <c r="W88" s="3"/>
      <c r="Y88" s="3" t="str">
        <f t="shared" si="26"/>
        <v/>
      </c>
      <c r="Z88" s="3"/>
      <c r="AB88" s="3" t="str">
        <f t="shared" si="27"/>
        <v/>
      </c>
      <c r="AC88" s="3"/>
      <c r="AE88" s="3">
        <f t="shared" si="28"/>
        <v>82</v>
      </c>
      <c r="AF88" s="3" t="str">
        <v>Staff: Jad Saxton (ADR Director (English))</v>
      </c>
      <c r="AH88" s="3">
        <f t="shared" si="19"/>
        <v>82</v>
      </c>
      <c r="AI88" s="3" t="str">
        <v>Staff Role: Lead ADR Engineer (English)</v>
      </c>
    </row>
    <row r="89" spans="1:35" x14ac:dyDescent="0.3">
      <c r="A89" t="s">
        <v>144</v>
      </c>
      <c r="B89" s="5">
        <v>76.153846153846104</v>
      </c>
      <c r="C89" s="9">
        <v>13</v>
      </c>
      <c r="D89" s="6">
        <v>1.82712579058327E-3</v>
      </c>
      <c r="E89" s="7">
        <v>0.139142656359803</v>
      </c>
      <c r="G89" s="3" t="str">
        <f t="shared" si="20"/>
        <v/>
      </c>
      <c r="H89" s="3"/>
      <c r="J89" s="3">
        <f t="shared" si="21"/>
        <v>83</v>
      </c>
      <c r="K89" s="3" t="str">
        <v>Tag: Teacher</v>
      </c>
      <c r="M89" s="3">
        <f t="shared" si="22"/>
        <v>83</v>
      </c>
      <c r="N89" s="3" t="str">
        <v>Studio: D-techno</v>
      </c>
      <c r="P89" s="3" t="str">
        <f t="shared" si="23"/>
        <v/>
      </c>
      <c r="Q89" s="3"/>
      <c r="S89" s="3" t="str">
        <f t="shared" si="24"/>
        <v/>
      </c>
      <c r="T89" s="3"/>
      <c r="V89" s="3" t="str">
        <f t="shared" si="25"/>
        <v/>
      </c>
      <c r="W89" s="3"/>
      <c r="Y89" s="3" t="str">
        <f t="shared" si="26"/>
        <v/>
      </c>
      <c r="Z89" s="3"/>
      <c r="AB89" s="3" t="str">
        <f t="shared" si="27"/>
        <v/>
      </c>
      <c r="AC89" s="3"/>
      <c r="AE89" s="3">
        <f t="shared" si="28"/>
        <v>83</v>
      </c>
      <c r="AF89" s="3" t="str">
        <v>Staff: Leah Clark (Script (English))</v>
      </c>
      <c r="AH89" s="3">
        <f t="shared" si="19"/>
        <v>83</v>
      </c>
      <c r="AI89" s="3" t="str">
        <v>Staff Role: Chief Producer</v>
      </c>
    </row>
    <row r="90" spans="1:35" x14ac:dyDescent="0.3">
      <c r="A90" t="s">
        <v>604</v>
      </c>
      <c r="B90" s="5">
        <v>70.714285714285694</v>
      </c>
      <c r="C90" s="9">
        <v>14</v>
      </c>
      <c r="D90" s="6">
        <v>1.9676739283204401E-3</v>
      </c>
      <c r="E90" s="7">
        <v>0.139142656359803</v>
      </c>
      <c r="G90" s="3" t="str">
        <f t="shared" si="20"/>
        <v/>
      </c>
      <c r="H90" s="3"/>
      <c r="J90" s="3">
        <f t="shared" si="21"/>
        <v>84</v>
      </c>
      <c r="K90" s="3" t="str">
        <v>Tag: Monster Girl</v>
      </c>
      <c r="M90" s="3">
        <f t="shared" si="22"/>
        <v>84</v>
      </c>
      <c r="N90" s="3" t="str">
        <v>Studio: Sony Music Entertainment</v>
      </c>
      <c r="P90" s="3" t="str">
        <f t="shared" si="23"/>
        <v/>
      </c>
      <c r="Q90" s="3"/>
      <c r="S90" s="3" t="str">
        <f t="shared" si="24"/>
        <v/>
      </c>
      <c r="T90" s="3"/>
      <c r="V90" s="3" t="str">
        <f t="shared" si="25"/>
        <v/>
      </c>
      <c r="W90" s="3"/>
      <c r="Y90" s="3" t="str">
        <f t="shared" si="26"/>
        <v/>
      </c>
      <c r="Z90" s="3"/>
      <c r="AB90" s="3" t="str">
        <f t="shared" si="27"/>
        <v/>
      </c>
      <c r="AC90" s="3"/>
      <c r="AE90" s="3">
        <f t="shared" si="28"/>
        <v>84</v>
      </c>
      <c r="AF90" s="3" t="str">
        <v>Staff: Jeramey Kraatz (ADR Script Supervisor (English))</v>
      </c>
      <c r="AH90" s="3">
        <f t="shared" si="19"/>
        <v>84</v>
      </c>
      <c r="AI90" s="3" t="str">
        <v>Staff Role: Chief Animation Director (eps 1-24)</v>
      </c>
    </row>
    <row r="91" spans="1:35" x14ac:dyDescent="0.3">
      <c r="A91" t="s">
        <v>97</v>
      </c>
      <c r="B91" s="5">
        <v>73.846153846153797</v>
      </c>
      <c r="C91" s="9">
        <v>13</v>
      </c>
      <c r="D91" s="6">
        <v>1.82712579058327E-3</v>
      </c>
      <c r="E91" s="7">
        <v>0.134926212227688</v>
      </c>
      <c r="G91" s="3" t="str">
        <f t="shared" si="20"/>
        <v/>
      </c>
      <c r="H91" s="3"/>
      <c r="J91" s="3">
        <f t="shared" si="21"/>
        <v>85</v>
      </c>
      <c r="K91" s="3" t="str">
        <v>Tag: Mafia</v>
      </c>
      <c r="M91" s="3">
        <f t="shared" si="22"/>
        <v>85</v>
      </c>
      <c r="N91" s="3" t="str">
        <v>Studio: Asatsu DK</v>
      </c>
      <c r="P91" s="3" t="str">
        <f t="shared" si="23"/>
        <v/>
      </c>
      <c r="Q91" s="3"/>
      <c r="S91" s="3" t="str">
        <f t="shared" si="24"/>
        <v/>
      </c>
      <c r="T91" s="3"/>
      <c r="V91" s="3" t="str">
        <f t="shared" si="25"/>
        <v/>
      </c>
      <c r="W91" s="3"/>
      <c r="Y91" s="3" t="str">
        <f t="shared" si="26"/>
        <v/>
      </c>
      <c r="Z91" s="3"/>
      <c r="AB91" s="3" t="str">
        <f t="shared" si="27"/>
        <v/>
      </c>
      <c r="AC91" s="3"/>
      <c r="AE91" s="3">
        <f t="shared" si="28"/>
        <v>85</v>
      </c>
      <c r="AF91" s="3" t="str">
        <v>Staff: Yannik Raiss (ADR Director (German))</v>
      </c>
      <c r="AH91" s="3">
        <f t="shared" si="19"/>
        <v>85</v>
      </c>
      <c r="AI91" s="3" t="str">
        <v>Staff Role: Mechanical Design</v>
      </c>
    </row>
    <row r="92" spans="1:35" x14ac:dyDescent="0.3">
      <c r="A92" t="s">
        <v>280</v>
      </c>
      <c r="B92" s="5">
        <v>80</v>
      </c>
      <c r="C92" s="9">
        <v>12</v>
      </c>
      <c r="D92" s="6">
        <v>1.6865776528461E-3</v>
      </c>
      <c r="E92" s="7">
        <v>0.134926212227688</v>
      </c>
      <c r="G92" s="3" t="str">
        <f t="shared" si="20"/>
        <v/>
      </c>
      <c r="H92" s="3"/>
      <c r="J92" s="3">
        <f t="shared" si="21"/>
        <v>86</v>
      </c>
      <c r="K92" s="3" t="str">
        <v>Tag: Amnesia</v>
      </c>
      <c r="M92" s="3">
        <f t="shared" si="22"/>
        <v>86</v>
      </c>
      <c r="N92" s="3" t="str">
        <v>Studio: Good Smile Company</v>
      </c>
      <c r="P92" s="3" t="str">
        <f t="shared" si="23"/>
        <v/>
      </c>
      <c r="Q92" s="3"/>
      <c r="S92" s="3" t="str">
        <f t="shared" si="24"/>
        <v/>
      </c>
      <c r="T92" s="3"/>
      <c r="V92" s="3" t="str">
        <f t="shared" si="25"/>
        <v/>
      </c>
      <c r="W92" s="3"/>
      <c r="Y92" s="3" t="str">
        <f t="shared" si="26"/>
        <v/>
      </c>
      <c r="Z92" s="3"/>
      <c r="AB92" s="3" t="str">
        <f t="shared" si="27"/>
        <v/>
      </c>
      <c r="AC92" s="3"/>
      <c r="AE92" s="3">
        <f t="shared" si="28"/>
        <v>86</v>
      </c>
      <c r="AF92" s="3" t="str">
        <v>Staff: Katsuhiro Kumagai (Character Design)</v>
      </c>
      <c r="AH92" s="3">
        <f t="shared" si="19"/>
        <v>86</v>
      </c>
      <c r="AI92" s="3" t="str">
        <v>Staff Role: Production Desk</v>
      </c>
    </row>
    <row r="93" spans="1:35" x14ac:dyDescent="0.3">
      <c r="A93" t="s">
        <v>603</v>
      </c>
      <c r="B93" s="5">
        <v>72.307692307692307</v>
      </c>
      <c r="C93" s="9">
        <v>13</v>
      </c>
      <c r="D93" s="6">
        <v>1.82712579058327E-3</v>
      </c>
      <c r="E93" s="7">
        <v>0.13211524947294401</v>
      </c>
      <c r="G93" s="3" t="str">
        <f t="shared" si="20"/>
        <v/>
      </c>
      <c r="H93" s="3"/>
      <c r="J93" s="3">
        <f t="shared" si="21"/>
        <v>87</v>
      </c>
      <c r="K93" s="3" t="str">
        <v>Tag: Time Manipulation</v>
      </c>
      <c r="M93" s="3">
        <f t="shared" si="22"/>
        <v>87</v>
      </c>
      <c r="N93" s="3" t="str">
        <v>Studio: xenron</v>
      </c>
      <c r="P93" s="3" t="str">
        <f t="shared" si="23"/>
        <v/>
      </c>
      <c r="Q93" s="3"/>
      <c r="S93" s="3" t="str">
        <f t="shared" si="24"/>
        <v/>
      </c>
      <c r="T93" s="3"/>
      <c r="V93" s="3" t="str">
        <f t="shared" si="25"/>
        <v/>
      </c>
      <c r="W93" s="3"/>
      <c r="Y93" s="3" t="str">
        <f t="shared" si="26"/>
        <v/>
      </c>
      <c r="Z93" s="3"/>
      <c r="AB93" s="3" t="str">
        <f t="shared" si="27"/>
        <v/>
      </c>
      <c r="AC93" s="3"/>
      <c r="AE93" s="3">
        <f t="shared" si="28"/>
        <v>87</v>
      </c>
      <c r="AF93" s="3" t="str">
        <v>Staff: Hajime Hyakkoku (Music)</v>
      </c>
      <c r="AH93" s="3">
        <f t="shared" si="19"/>
        <v>87</v>
      </c>
      <c r="AI93" s="3" t="str">
        <v>Staff Role: Key Animation (ep 4)</v>
      </c>
    </row>
    <row r="94" spans="1:35" x14ac:dyDescent="0.3">
      <c r="A94" t="s">
        <v>601</v>
      </c>
      <c r="B94" s="5">
        <v>70.769230769230703</v>
      </c>
      <c r="C94" s="9">
        <v>13</v>
      </c>
      <c r="D94" s="6">
        <v>1.82712579058327E-3</v>
      </c>
      <c r="E94" s="7">
        <v>0.12930428671820099</v>
      </c>
      <c r="G94" s="3" t="str">
        <f t="shared" si="20"/>
        <v/>
      </c>
      <c r="H94" s="3"/>
      <c r="J94" s="3">
        <f t="shared" si="21"/>
        <v>88</v>
      </c>
      <c r="K94" s="3" t="str">
        <v>Tag: Lost Civilization</v>
      </c>
      <c r="M94" s="3">
        <f t="shared" si="22"/>
        <v>88</v>
      </c>
      <c r="N94" s="3" t="str">
        <v>Studio: Happinet Phantom Studios</v>
      </c>
      <c r="P94" s="3" t="str">
        <f t="shared" si="23"/>
        <v/>
      </c>
      <c r="Q94" s="3"/>
      <c r="S94" s="3" t="str">
        <f t="shared" si="24"/>
        <v/>
      </c>
      <c r="T94" s="3"/>
      <c r="V94" s="3" t="str">
        <f t="shared" si="25"/>
        <v/>
      </c>
      <c r="W94" s="3"/>
      <c r="Y94" s="3" t="str">
        <f t="shared" si="26"/>
        <v/>
      </c>
      <c r="Z94" s="3"/>
      <c r="AB94" s="3" t="str">
        <f t="shared" si="27"/>
        <v/>
      </c>
      <c r="AC94" s="3"/>
      <c r="AE94" s="3">
        <f t="shared" si="28"/>
        <v>88</v>
      </c>
      <c r="AF94" s="3" t="str">
        <v>Staff: Takafumi Kuwano (Director of Photography)</v>
      </c>
      <c r="AH94" s="3">
        <f t="shared" si="19"/>
        <v>88</v>
      </c>
      <c r="AI94" s="3" t="str">
        <v>Staff Role: Set Design</v>
      </c>
    </row>
    <row r="95" spans="1:35" x14ac:dyDescent="0.3">
      <c r="A95" t="s">
        <v>72</v>
      </c>
      <c r="B95" s="5">
        <v>77.272727272727195</v>
      </c>
      <c r="C95" s="9">
        <v>11</v>
      </c>
      <c r="D95" s="6">
        <v>1.5460295151089199E-3</v>
      </c>
      <c r="E95" s="7">
        <v>0.119465917076598</v>
      </c>
      <c r="G95" s="3" t="str">
        <f t="shared" si="20"/>
        <v/>
      </c>
      <c r="H95" s="3"/>
      <c r="J95" s="3">
        <f t="shared" si="21"/>
        <v>89</v>
      </c>
      <c r="K95" s="3" t="str">
        <v>Tag: Steampunk</v>
      </c>
      <c r="M95" s="3">
        <f t="shared" si="22"/>
        <v>89</v>
      </c>
      <c r="N95" s="3" t="str">
        <v>Studio: Dream Shift</v>
      </c>
      <c r="P95" s="3" t="str">
        <f t="shared" si="23"/>
        <v/>
      </c>
      <c r="Q95" s="3"/>
      <c r="S95" s="3" t="str">
        <f t="shared" si="24"/>
        <v/>
      </c>
      <c r="T95" s="3"/>
      <c r="V95" s="3" t="str">
        <f t="shared" si="25"/>
        <v/>
      </c>
      <c r="W95" s="3"/>
      <c r="Y95" s="3" t="str">
        <f t="shared" si="26"/>
        <v/>
      </c>
      <c r="Z95" s="3"/>
      <c r="AB95" s="3" t="str">
        <f t="shared" si="27"/>
        <v/>
      </c>
      <c r="AC95" s="3"/>
      <c r="AE95" s="3">
        <f t="shared" si="28"/>
        <v>89</v>
      </c>
      <c r="AF95" s="3" t="str">
        <v>Staff: Tyler Walker (ADR Script Supervisor (English))</v>
      </c>
      <c r="AH95" s="3">
        <f t="shared" si="19"/>
        <v>89</v>
      </c>
      <c r="AI95" s="3" t="str">
        <v>Staff Role: Theme Song Lyrics (OP1)</v>
      </c>
    </row>
    <row r="96" spans="1:35" x14ac:dyDescent="0.3">
      <c r="A96" t="s">
        <v>83</v>
      </c>
      <c r="B96" s="5">
        <v>77.272727272727195</v>
      </c>
      <c r="C96" s="9">
        <v>11</v>
      </c>
      <c r="D96" s="6">
        <v>1.5460295151089199E-3</v>
      </c>
      <c r="E96" s="7">
        <v>0.119465917076598</v>
      </c>
      <c r="G96" s="3" t="str">
        <f t="shared" si="20"/>
        <v/>
      </c>
      <c r="H96" s="3"/>
      <c r="J96" s="3">
        <f t="shared" si="21"/>
        <v>90</v>
      </c>
      <c r="K96" s="3" t="str">
        <v>Tag: Cosplay</v>
      </c>
      <c r="M96" s="3">
        <f t="shared" si="22"/>
        <v>90</v>
      </c>
      <c r="N96" s="3" t="str">
        <v>Studio: Sotsu</v>
      </c>
      <c r="P96" s="3" t="str">
        <f t="shared" si="23"/>
        <v/>
      </c>
      <c r="Q96" s="3"/>
      <c r="S96" s="3" t="str">
        <f t="shared" si="24"/>
        <v/>
      </c>
      <c r="T96" s="3"/>
      <c r="V96" s="3" t="str">
        <f t="shared" si="25"/>
        <v/>
      </c>
      <c r="W96" s="3"/>
      <c r="Y96" s="3" t="str">
        <f t="shared" si="26"/>
        <v/>
      </c>
      <c r="Z96" s="3"/>
      <c r="AB96" s="3" t="str">
        <f t="shared" si="27"/>
        <v/>
      </c>
      <c r="AC96" s="3"/>
      <c r="AE96" s="3">
        <f t="shared" si="28"/>
        <v>90</v>
      </c>
      <c r="AF96" s="3" t="str">
        <v>Staff: Kazuyuki Fudeyasu (Script)</v>
      </c>
      <c r="AH96" s="3">
        <f t="shared" si="19"/>
        <v>90</v>
      </c>
      <c r="AI96" s="3" t="str">
        <v>Staff Role: Insert Song Performance ("Jishozukuri no Uta: We Are Jisho-tans"; ep 4)</v>
      </c>
    </row>
    <row r="97" spans="1:35" x14ac:dyDescent="0.3">
      <c r="A97" t="s">
        <v>100</v>
      </c>
      <c r="B97" s="5">
        <v>77.272727272727195</v>
      </c>
      <c r="C97" s="9">
        <v>11</v>
      </c>
      <c r="D97" s="6">
        <v>1.5460295151089199E-3</v>
      </c>
      <c r="E97" s="7">
        <v>0.119465917076598</v>
      </c>
      <c r="G97" s="3" t="str">
        <f t="shared" si="20"/>
        <v/>
      </c>
      <c r="H97" s="3"/>
      <c r="J97" s="3">
        <f t="shared" si="21"/>
        <v>91</v>
      </c>
      <c r="K97" s="3" t="str">
        <v>Tag: Conspiracy</v>
      </c>
      <c r="M97" s="3">
        <f t="shared" si="22"/>
        <v>91</v>
      </c>
      <c r="N97" s="3" t="str">
        <v>Studio: Klock Worx</v>
      </c>
      <c r="P97" s="3" t="str">
        <f t="shared" si="23"/>
        <v/>
      </c>
      <c r="Q97" s="3"/>
      <c r="S97" s="3" t="str">
        <f t="shared" si="24"/>
        <v/>
      </c>
      <c r="T97" s="3"/>
      <c r="V97" s="3" t="str">
        <f t="shared" si="25"/>
        <v/>
      </c>
      <c r="W97" s="3"/>
      <c r="Y97" s="3" t="str">
        <f t="shared" si="26"/>
        <v/>
      </c>
      <c r="Z97" s="3"/>
      <c r="AB97" s="3" t="str">
        <f t="shared" si="27"/>
        <v/>
      </c>
      <c r="AC97" s="3"/>
      <c r="AE97" s="3">
        <f t="shared" si="28"/>
        <v>91</v>
      </c>
      <c r="AF97" s="3" t="str">
        <v>Staff: Masayoshi Tanaka (Character Design)</v>
      </c>
      <c r="AH97" s="3">
        <f t="shared" si="19"/>
        <v>91</v>
      </c>
      <c r="AI97" s="3" t="str">
        <v>Staff Role: Key Animation (ep 23)</v>
      </c>
    </row>
    <row r="98" spans="1:35" x14ac:dyDescent="0.3">
      <c r="A98" t="s">
        <v>66</v>
      </c>
      <c r="B98" s="5">
        <v>76.363636363636303</v>
      </c>
      <c r="C98" s="9">
        <v>11</v>
      </c>
      <c r="D98" s="6">
        <v>1.5460295151089199E-3</v>
      </c>
      <c r="E98" s="7">
        <v>0.118060435699227</v>
      </c>
      <c r="G98" s="3" t="str">
        <f t="shared" si="20"/>
        <v/>
      </c>
      <c r="H98" s="3"/>
      <c r="J98" s="3">
        <f t="shared" si="21"/>
        <v>92</v>
      </c>
      <c r="K98" s="3" t="str">
        <v>Tag: Martial Arts</v>
      </c>
      <c r="M98" s="3">
        <f t="shared" si="22"/>
        <v>92</v>
      </c>
      <c r="N98" s="3" t="str">
        <v>Studio: Bit Grooove Promotion</v>
      </c>
      <c r="P98" s="3" t="str">
        <f t="shared" si="23"/>
        <v/>
      </c>
      <c r="Q98" s="3"/>
      <c r="S98" s="3" t="str">
        <f t="shared" si="24"/>
        <v/>
      </c>
      <c r="T98" s="3"/>
      <c r="V98" s="3" t="str">
        <f t="shared" si="25"/>
        <v/>
      </c>
      <c r="W98" s="3"/>
      <c r="Y98" s="3" t="str">
        <f t="shared" si="26"/>
        <v/>
      </c>
      <c r="Z98" s="3"/>
      <c r="AB98" s="3" t="str">
        <f t="shared" si="27"/>
        <v/>
      </c>
      <c r="AC98" s="3"/>
      <c r="AE98" s="3">
        <f t="shared" si="28"/>
        <v>92</v>
      </c>
      <c r="AF98" s="3" t="str">
        <v>Staff: Makoto Shinkai (Director)</v>
      </c>
      <c r="AH98" s="3">
        <f t="shared" si="19"/>
        <v>92</v>
      </c>
      <c r="AI98" s="3" t="str">
        <v>Staff Role: Chief Animation Director (eps 1-12)</v>
      </c>
    </row>
    <row r="99" spans="1:35" x14ac:dyDescent="0.3">
      <c r="A99" t="s">
        <v>130</v>
      </c>
      <c r="B99" s="5">
        <v>76.363636363636303</v>
      </c>
      <c r="C99" s="9">
        <v>11</v>
      </c>
      <c r="D99" s="6">
        <v>1.5460295151089199E-3</v>
      </c>
      <c r="E99" s="7">
        <v>0.118060435699227</v>
      </c>
      <c r="G99" s="3" t="str">
        <f t="shared" si="20"/>
        <v/>
      </c>
      <c r="H99" s="3"/>
      <c r="J99" s="3">
        <f t="shared" si="21"/>
        <v>93</v>
      </c>
      <c r="K99" s="3" t="str">
        <v>Tag: Ghost</v>
      </c>
      <c r="M99" s="3">
        <f t="shared" si="22"/>
        <v>93</v>
      </c>
      <c r="N99" s="3" t="str">
        <v>Studio: Bergamo</v>
      </c>
      <c r="P99" s="3" t="str">
        <f t="shared" si="23"/>
        <v/>
      </c>
      <c r="Q99" s="3"/>
      <c r="S99" s="3" t="str">
        <f t="shared" si="24"/>
        <v/>
      </c>
      <c r="T99" s="3"/>
      <c r="V99" s="3" t="str">
        <f t="shared" si="25"/>
        <v/>
      </c>
      <c r="W99" s="3"/>
      <c r="Y99" s="3" t="str">
        <f t="shared" si="26"/>
        <v/>
      </c>
      <c r="Z99" s="3"/>
      <c r="AB99" s="3" t="str">
        <f t="shared" si="27"/>
        <v/>
      </c>
      <c r="AC99" s="3"/>
      <c r="AE99" s="3">
        <f t="shared" si="28"/>
        <v>93</v>
      </c>
      <c r="AF99" s="3" t="str">
        <v>Staff: Makoto Shinkai (Script)</v>
      </c>
      <c r="AH99" s="3">
        <f t="shared" si="19"/>
        <v>93</v>
      </c>
      <c r="AI99" s="3" t="str">
        <v>Staff Role: Assistant Director of Photography</v>
      </c>
    </row>
    <row r="100" spans="1:35" x14ac:dyDescent="0.3">
      <c r="A100" t="s">
        <v>90</v>
      </c>
      <c r="B100" s="5">
        <v>75.454545454545396</v>
      </c>
      <c r="C100" s="9">
        <v>11</v>
      </c>
      <c r="D100" s="6">
        <v>1.5460295151089199E-3</v>
      </c>
      <c r="E100" s="7">
        <v>0.11665495432185501</v>
      </c>
      <c r="G100" s="3" t="str">
        <f t="shared" si="20"/>
        <v/>
      </c>
      <c r="H100" s="3"/>
      <c r="J100" s="3">
        <f t="shared" si="21"/>
        <v>94</v>
      </c>
      <c r="K100" s="3" t="str">
        <v>Tag: Body Swapping</v>
      </c>
      <c r="M100" s="3">
        <f t="shared" si="22"/>
        <v>94</v>
      </c>
      <c r="N100" s="3" t="str">
        <v>Studio: arma bianca</v>
      </c>
      <c r="P100" s="3" t="str">
        <f t="shared" si="23"/>
        <v/>
      </c>
      <c r="Q100" s="3"/>
      <c r="S100" s="3" t="str">
        <f t="shared" si="24"/>
        <v/>
      </c>
      <c r="T100" s="3"/>
      <c r="V100" s="3" t="str">
        <f t="shared" si="25"/>
        <v/>
      </c>
      <c r="W100" s="3"/>
      <c r="Y100" s="3" t="str">
        <f t="shared" si="26"/>
        <v/>
      </c>
      <c r="Z100" s="3"/>
      <c r="AB100" s="3" t="str">
        <f t="shared" si="27"/>
        <v/>
      </c>
      <c r="AC100" s="3"/>
      <c r="AE100" s="3">
        <f t="shared" si="28"/>
        <v>94</v>
      </c>
      <c r="AF100" s="3" t="str">
        <v>Staff: RADWIMPS (Theme Song Performance)</v>
      </c>
      <c r="AH100" s="3">
        <f t="shared" si="19"/>
        <v>94</v>
      </c>
      <c r="AI100" s="3" t="str">
        <v>Staff Role: Episode Director (eps 5, 8)</v>
      </c>
    </row>
    <row r="101" spans="1:35" x14ac:dyDescent="0.3">
      <c r="A101" t="s">
        <v>158</v>
      </c>
      <c r="B101" s="5">
        <v>74.545454545454504</v>
      </c>
      <c r="C101" s="9">
        <v>11</v>
      </c>
      <c r="D101" s="6">
        <v>1.5460295151089199E-3</v>
      </c>
      <c r="E101" s="7">
        <v>0.115249472944483</v>
      </c>
      <c r="G101" s="3" t="str">
        <f t="shared" si="20"/>
        <v/>
      </c>
      <c r="H101" s="3"/>
      <c r="J101" s="3">
        <f t="shared" si="21"/>
        <v>95</v>
      </c>
      <c r="K101" s="3" t="str">
        <v>Tag: Yandere</v>
      </c>
      <c r="M101" s="3">
        <f t="shared" si="22"/>
        <v>95</v>
      </c>
      <c r="N101" s="3" t="str">
        <v>Studio: BS Nippon</v>
      </c>
      <c r="P101" s="3" t="str">
        <f t="shared" si="23"/>
        <v/>
      </c>
      <c r="Q101" s="3"/>
      <c r="S101" s="3" t="str">
        <f t="shared" si="24"/>
        <v/>
      </c>
      <c r="T101" s="3"/>
      <c r="V101" s="3" t="str">
        <f t="shared" si="25"/>
        <v/>
      </c>
      <c r="W101" s="3"/>
      <c r="Y101" s="3" t="str">
        <f t="shared" si="26"/>
        <v/>
      </c>
      <c r="Z101" s="3"/>
      <c r="AB101" s="3" t="str">
        <f t="shared" si="27"/>
        <v/>
      </c>
      <c r="AC101" s="3"/>
      <c r="AE101" s="3">
        <f t="shared" si="28"/>
        <v>95</v>
      </c>
      <c r="AF101" s="3" t="str">
        <v>Staff: Matthias von Stegmann (ADR Director (German))</v>
      </c>
      <c r="AH101" s="3">
        <f t="shared" si="19"/>
        <v>95</v>
      </c>
      <c r="AI101" s="3" t="str">
        <v>Staff Role: Episode Director (eps 6, 11)</v>
      </c>
    </row>
    <row r="102" spans="1:35" x14ac:dyDescent="0.3">
      <c r="A102" t="s">
        <v>137</v>
      </c>
      <c r="B102" s="5">
        <v>77</v>
      </c>
      <c r="C102" s="9">
        <v>10</v>
      </c>
      <c r="D102" s="6">
        <v>1.4054813773717401E-3</v>
      </c>
      <c r="E102" s="7">
        <v>0.10822206605762399</v>
      </c>
      <c r="G102" s="3" t="str">
        <f t="shared" si="20"/>
        <v/>
      </c>
      <c r="H102" s="3"/>
      <c r="J102" s="3">
        <f t="shared" si="21"/>
        <v>96</v>
      </c>
      <c r="K102" s="3" t="str">
        <v>Tag: Dungeon</v>
      </c>
      <c r="M102" s="3">
        <f t="shared" si="22"/>
        <v>96</v>
      </c>
      <c r="N102" s="3" t="str">
        <v>Studio: YOMIURI BRAND STUDIO</v>
      </c>
      <c r="P102" s="3" t="str">
        <f t="shared" si="23"/>
        <v/>
      </c>
      <c r="Q102" s="3"/>
      <c r="S102" s="3" t="str">
        <f t="shared" si="24"/>
        <v/>
      </c>
      <c r="T102" s="3"/>
      <c r="V102" s="3" t="str">
        <f t="shared" si="25"/>
        <v/>
      </c>
      <c r="W102" s="3"/>
      <c r="Y102" s="3" t="str">
        <f t="shared" si="26"/>
        <v/>
      </c>
      <c r="Z102" s="3"/>
      <c r="AB102" s="3" t="str">
        <f t="shared" si="27"/>
        <v/>
      </c>
      <c r="AC102" s="3"/>
      <c r="AE102" s="3">
        <f t="shared" si="28"/>
        <v>96</v>
      </c>
      <c r="AF102" s="3" t="str">
        <v>Staff: Makoto Shinkai (Original Creator)</v>
      </c>
      <c r="AH102" s="3">
        <f t="shared" si="19"/>
        <v>96</v>
      </c>
      <c r="AI102" s="3" t="str">
        <v>Staff Role: Storyboard (eps 6, 7, 11)</v>
      </c>
    </row>
    <row r="103" spans="1:35" x14ac:dyDescent="0.3">
      <c r="A103" t="s">
        <v>298</v>
      </c>
      <c r="B103" s="5">
        <v>76</v>
      </c>
      <c r="C103" s="9">
        <v>10</v>
      </c>
      <c r="D103" s="6">
        <v>1.4054813773717401E-3</v>
      </c>
      <c r="E103" s="7">
        <v>0.106816584680252</v>
      </c>
      <c r="G103" s="3" t="str">
        <f t="shared" si="20"/>
        <v/>
      </c>
      <c r="H103" s="3"/>
      <c r="J103" s="3">
        <f t="shared" si="21"/>
        <v>97</v>
      </c>
      <c r="K103" s="3" t="str">
        <v>Tag: Cannibalism</v>
      </c>
      <c r="M103" s="3">
        <f t="shared" si="22"/>
        <v>97</v>
      </c>
      <c r="N103" s="3" t="str">
        <v>Studio: APDREAM</v>
      </c>
      <c r="P103" s="3" t="str">
        <f t="shared" si="23"/>
        <v/>
      </c>
      <c r="Q103" s="3"/>
      <c r="S103" s="3" t="str">
        <f t="shared" si="24"/>
        <v/>
      </c>
      <c r="T103" s="3"/>
      <c r="V103" s="3" t="str">
        <f t="shared" si="25"/>
        <v/>
      </c>
      <c r="W103" s="3"/>
      <c r="Y103" s="3" t="str">
        <f t="shared" si="26"/>
        <v/>
      </c>
      <c r="Z103" s="3"/>
      <c r="AB103" s="3" t="str">
        <f t="shared" si="27"/>
        <v/>
      </c>
      <c r="AC103" s="3"/>
      <c r="AE103" s="3">
        <f t="shared" si="28"/>
        <v>97</v>
      </c>
      <c r="AF103" s="3" t="str">
        <v>Staff: Takeyuki Takahashi (Art Design)</v>
      </c>
      <c r="AH103" s="3">
        <f t="shared" si="19"/>
        <v>97</v>
      </c>
      <c r="AI103" s="3" t="str">
        <v>Staff Role: Episode Director (ep 12)</v>
      </c>
    </row>
    <row r="104" spans="1:35" x14ac:dyDescent="0.3">
      <c r="A104" t="s">
        <v>103</v>
      </c>
      <c r="B104" s="5">
        <v>75</v>
      </c>
      <c r="C104" s="9">
        <v>10</v>
      </c>
      <c r="D104" s="6">
        <v>1.4054813773717401E-3</v>
      </c>
      <c r="E104" s="7">
        <v>0.105411103302881</v>
      </c>
      <c r="G104" s="3" t="str">
        <f t="shared" si="20"/>
        <v/>
      </c>
      <c r="H104" s="3"/>
      <c r="J104" s="3">
        <f t="shared" si="21"/>
        <v>98</v>
      </c>
      <c r="K104" s="3" t="str">
        <v>Tag: Henshin</v>
      </c>
      <c r="M104" s="3">
        <f t="shared" si="22"/>
        <v>98</v>
      </c>
      <c r="N104" s="3" t="str">
        <v>Studio: Satelight</v>
      </c>
      <c r="P104" s="3" t="str">
        <f t="shared" si="23"/>
        <v/>
      </c>
      <c r="Q104" s="3"/>
      <c r="S104" s="3" t="str">
        <f t="shared" si="24"/>
        <v/>
      </c>
      <c r="T104" s="3"/>
      <c r="V104" s="3" t="str">
        <f t="shared" si="25"/>
        <v/>
      </c>
      <c r="W104" s="3"/>
      <c r="Y104" s="3" t="str">
        <f t="shared" si="26"/>
        <v/>
      </c>
      <c r="Z104" s="3"/>
      <c r="AB104" s="3" t="str">
        <f t="shared" si="27"/>
        <v/>
      </c>
      <c r="AC104" s="3"/>
      <c r="AE104" s="3">
        <f t="shared" si="28"/>
        <v>98</v>
      </c>
      <c r="AF104" s="3" t="str">
        <v>Staff: Genki Kawamura (Planning)</v>
      </c>
      <c r="AH104" s="3">
        <f t="shared" si="19"/>
        <v>98</v>
      </c>
      <c r="AI104" s="3" t="str">
        <v>Staff Role: Storyboard (ep 3)</v>
      </c>
    </row>
    <row r="105" spans="1:35" x14ac:dyDescent="0.3">
      <c r="A105" t="s">
        <v>327</v>
      </c>
      <c r="B105" s="5">
        <v>75</v>
      </c>
      <c r="C105" s="9">
        <v>10</v>
      </c>
      <c r="D105" s="6">
        <v>1.4054813773717401E-3</v>
      </c>
      <c r="E105" s="7">
        <v>0.105411103302881</v>
      </c>
      <c r="G105" s="3" t="str">
        <f t="shared" si="20"/>
        <v/>
      </c>
      <c r="H105" s="3"/>
      <c r="J105" s="3">
        <f t="shared" si="21"/>
        <v>99</v>
      </c>
      <c r="K105" s="3" t="str">
        <v>Tag: Baseball</v>
      </c>
      <c r="M105" s="3">
        <f t="shared" si="22"/>
        <v>99</v>
      </c>
      <c r="N105" s="3" t="str">
        <v>Studio: HORNETS</v>
      </c>
      <c r="P105" s="3" t="str">
        <f t="shared" si="23"/>
        <v/>
      </c>
      <c r="Q105" s="3"/>
      <c r="S105" s="3" t="str">
        <f t="shared" si="24"/>
        <v/>
      </c>
      <c r="T105" s="3"/>
      <c r="V105" s="3" t="str">
        <f t="shared" si="25"/>
        <v/>
      </c>
      <c r="W105" s="3"/>
      <c r="Y105" s="3" t="str">
        <f t="shared" si="26"/>
        <v/>
      </c>
      <c r="Z105" s="3"/>
      <c r="AB105" s="3" t="str">
        <f t="shared" si="27"/>
        <v/>
      </c>
      <c r="AC105" s="3"/>
      <c r="AE105" s="3">
        <f t="shared" si="28"/>
        <v>99</v>
      </c>
      <c r="AF105" s="3" t="str">
        <v>Staff: Masaru Yokoyama (Music)</v>
      </c>
      <c r="AH105" s="3">
        <f t="shared" si="19"/>
        <v>99</v>
      </c>
      <c r="AI105" s="3" t="str">
        <v>Staff Role: Key Animation (ep 5)</v>
      </c>
    </row>
    <row r="106" spans="1:35" x14ac:dyDescent="0.3">
      <c r="A106" t="s">
        <v>156</v>
      </c>
      <c r="B106" s="5">
        <v>74</v>
      </c>
      <c r="C106" s="9">
        <v>10</v>
      </c>
      <c r="D106" s="6">
        <v>1.4054813773717401E-3</v>
      </c>
      <c r="E106" s="7">
        <v>0.104005621925509</v>
      </c>
      <c r="G106" s="3" t="str">
        <f t="shared" si="20"/>
        <v/>
      </c>
      <c r="H106" s="3"/>
      <c r="J106" s="3">
        <f t="shared" si="21"/>
        <v>100</v>
      </c>
      <c r="K106" s="3" t="str">
        <v>Tag: Gyaru</v>
      </c>
      <c r="M106" s="3">
        <f t="shared" si="22"/>
        <v>100</v>
      </c>
      <c r="N106" s="3" t="str">
        <v>Studio: Mixer</v>
      </c>
      <c r="P106" s="3" t="str">
        <f t="shared" si="23"/>
        <v/>
      </c>
      <c r="Q106" s="3"/>
      <c r="S106" s="3" t="str">
        <f t="shared" si="24"/>
        <v/>
      </c>
      <c r="T106" s="3"/>
      <c r="V106" s="3" t="str">
        <f t="shared" si="25"/>
        <v/>
      </c>
      <c r="W106" s="3"/>
      <c r="Y106" s="3" t="str">
        <f t="shared" si="26"/>
        <v/>
      </c>
      <c r="Z106" s="3"/>
      <c r="AB106" s="3" t="str">
        <f t="shared" si="27"/>
        <v/>
      </c>
      <c r="AC106" s="3"/>
      <c r="AE106" s="3">
        <f t="shared" si="28"/>
        <v>100</v>
      </c>
      <c r="AF106" s="3" t="str">
        <v>Staff: Masaharu Watanabe (Director)</v>
      </c>
      <c r="AH106" s="3">
        <f t="shared" si="19"/>
        <v>100</v>
      </c>
      <c r="AI106" s="3" t="str">
        <v>Staff Role: Insert Song Performance (ep 20)</v>
      </c>
    </row>
    <row r="107" spans="1:35" x14ac:dyDescent="0.3">
      <c r="A107" t="s">
        <v>154</v>
      </c>
      <c r="B107" s="5">
        <v>81.1111111111111</v>
      </c>
      <c r="C107" s="9">
        <v>9</v>
      </c>
      <c r="D107" s="6">
        <v>1.26493323963457E-3</v>
      </c>
      <c r="E107" s="7">
        <v>0.102600140548137</v>
      </c>
      <c r="G107" s="3" t="str">
        <f t="shared" si="20"/>
        <v/>
      </c>
      <c r="H107" s="3"/>
      <c r="J107" s="3">
        <f t="shared" si="21"/>
        <v>101</v>
      </c>
      <c r="K107" s="3" t="str">
        <v>Tag: Yakuza</v>
      </c>
      <c r="M107" s="3">
        <f t="shared" si="22"/>
        <v>101</v>
      </c>
      <c r="N107" s="3" t="str">
        <v>Studio: North Stars Pictures</v>
      </c>
      <c r="P107" s="3" t="str">
        <f t="shared" si="23"/>
        <v/>
      </c>
      <c r="Q107" s="3"/>
      <c r="S107" s="3" t="str">
        <f t="shared" si="24"/>
        <v/>
      </c>
      <c r="T107" s="3"/>
      <c r="V107" s="3" t="str">
        <f t="shared" si="25"/>
        <v/>
      </c>
      <c r="W107" s="3"/>
      <c r="Y107" s="3" t="str">
        <f t="shared" si="26"/>
        <v/>
      </c>
      <c r="Z107" s="3"/>
      <c r="AB107" s="3" t="str">
        <f t="shared" si="27"/>
        <v/>
      </c>
      <c r="AC107" s="3"/>
      <c r="AE107" s="3">
        <f t="shared" si="28"/>
        <v>101</v>
      </c>
      <c r="AF107" s="3" t="str">
        <v>Staff: Masahiro Yokotani (Series Composition)</v>
      </c>
      <c r="AH107" s="3">
        <f t="shared" si="19"/>
        <v>101</v>
      </c>
      <c r="AI107" s="3" t="str">
        <v>Staff Role: Theme Song Performance (OP1)</v>
      </c>
    </row>
    <row r="108" spans="1:35" x14ac:dyDescent="0.3">
      <c r="A108" t="s">
        <v>527</v>
      </c>
      <c r="B108" s="5">
        <v>73</v>
      </c>
      <c r="C108" s="9">
        <v>10</v>
      </c>
      <c r="D108" s="6">
        <v>1.4054813773717401E-3</v>
      </c>
      <c r="E108" s="7">
        <v>0.102600140548137</v>
      </c>
      <c r="G108" s="3" t="str">
        <f t="shared" si="20"/>
        <v/>
      </c>
      <c r="H108" s="3"/>
      <c r="J108" s="3">
        <f t="shared" si="21"/>
        <v>102</v>
      </c>
      <c r="K108" s="3" t="str">
        <v>Tag: Police</v>
      </c>
      <c r="M108" s="3">
        <f t="shared" si="22"/>
        <v>102</v>
      </c>
      <c r="N108" s="3" t="str">
        <v>Studio: JY Animation</v>
      </c>
      <c r="P108" s="3" t="str">
        <f t="shared" si="23"/>
        <v/>
      </c>
      <c r="Q108" s="3"/>
      <c r="S108" s="3" t="str">
        <f t="shared" si="24"/>
        <v/>
      </c>
      <c r="T108" s="3"/>
      <c r="V108" s="3" t="str">
        <f t="shared" si="25"/>
        <v/>
      </c>
      <c r="W108" s="3"/>
      <c r="Y108" s="3" t="str">
        <f t="shared" si="26"/>
        <v/>
      </c>
      <c r="Z108" s="3"/>
      <c r="AB108" s="3" t="str">
        <f t="shared" si="27"/>
        <v/>
      </c>
      <c r="AC108" s="3"/>
      <c r="AE108" s="3">
        <f t="shared" si="28"/>
        <v>102</v>
      </c>
      <c r="AF108" s="3" t="str">
        <v>Staff: Chitose Kawazoe (Producer)</v>
      </c>
      <c r="AH108" s="3">
        <f t="shared" si="19"/>
        <v>102</v>
      </c>
      <c r="AI108" s="3" t="str">
        <v>Staff Role: Theme Song Performance (ED4)</v>
      </c>
    </row>
    <row r="109" spans="1:35" x14ac:dyDescent="0.3">
      <c r="A109" t="s">
        <v>688</v>
      </c>
      <c r="B109" s="5">
        <v>73</v>
      </c>
      <c r="C109" s="9">
        <v>10</v>
      </c>
      <c r="D109" s="6">
        <v>1.4054813773717401E-3</v>
      </c>
      <c r="E109" s="7">
        <v>0.102600140548137</v>
      </c>
      <c r="G109" s="3" t="str">
        <f t="shared" si="20"/>
        <v/>
      </c>
      <c r="H109" s="3"/>
      <c r="J109" s="3">
        <f t="shared" si="21"/>
        <v>103</v>
      </c>
      <c r="K109" s="3" t="str">
        <v>Tag: Age Gap</v>
      </c>
      <c r="M109" s="3">
        <f t="shared" si="22"/>
        <v>103</v>
      </c>
      <c r="N109" s="3" t="str">
        <v>Studio: CA-Cygames Anime Fund</v>
      </c>
      <c r="P109" s="3" t="str">
        <f t="shared" si="23"/>
        <v/>
      </c>
      <c r="Q109" s="3"/>
      <c r="S109" s="3" t="str">
        <f t="shared" si="24"/>
        <v/>
      </c>
      <c r="T109" s="3"/>
      <c r="V109" s="3" t="str">
        <f t="shared" si="25"/>
        <v/>
      </c>
      <c r="W109" s="3"/>
      <c r="Y109" s="3" t="str">
        <f t="shared" si="26"/>
        <v/>
      </c>
      <c r="Z109" s="3"/>
      <c r="AB109" s="3" t="str">
        <f t="shared" si="27"/>
        <v/>
      </c>
      <c r="AC109" s="3"/>
      <c r="AE109" s="3">
        <f t="shared" si="28"/>
        <v>103</v>
      </c>
      <c r="AF109" s="3" t="str">
        <v>Staff: Jirou Nagakawa (Animation Producer)</v>
      </c>
      <c r="AH109" s="3">
        <f t="shared" si="19"/>
        <v>103</v>
      </c>
      <c r="AI109" s="3" t="str">
        <v>Staff Role: Episode Director (ep 4)</v>
      </c>
    </row>
    <row r="110" spans="1:35" x14ac:dyDescent="0.3">
      <c r="A110" t="s">
        <v>764</v>
      </c>
      <c r="B110" s="5">
        <v>73</v>
      </c>
      <c r="C110" s="9">
        <v>10</v>
      </c>
      <c r="D110" s="6">
        <v>1.4054813773717401E-3</v>
      </c>
      <c r="E110" s="7">
        <v>0.102600140548137</v>
      </c>
      <c r="G110" s="3" t="str">
        <f t="shared" si="20"/>
        <v/>
      </c>
      <c r="H110" s="3"/>
      <c r="J110" s="3">
        <f t="shared" si="21"/>
        <v>104</v>
      </c>
      <c r="K110" s="3" t="str">
        <v>Tag: Maids</v>
      </c>
      <c r="M110" s="3">
        <f t="shared" si="22"/>
        <v>104</v>
      </c>
      <c r="N110" s="3" t="str">
        <v>Studio: Wit Studio</v>
      </c>
      <c r="P110" s="3" t="str">
        <f t="shared" si="23"/>
        <v/>
      </c>
      <c r="Q110" s="3"/>
      <c r="S110" s="3" t="str">
        <f t="shared" si="24"/>
        <v/>
      </c>
      <c r="T110" s="3"/>
      <c r="V110" s="3" t="str">
        <f t="shared" si="25"/>
        <v/>
      </c>
      <c r="W110" s="3"/>
      <c r="Y110" s="3" t="str">
        <f t="shared" si="26"/>
        <v/>
      </c>
      <c r="Z110" s="3"/>
      <c r="AB110" s="3" t="str">
        <f t="shared" si="27"/>
        <v/>
      </c>
      <c r="AC110" s="3"/>
      <c r="AE110" s="3">
        <f t="shared" si="28"/>
        <v>104</v>
      </c>
      <c r="AF110" s="3" t="str">
        <v>Staff: Naoko Shoukinji (Prop Design)</v>
      </c>
      <c r="AH110" s="3">
        <f t="shared" si="19"/>
        <v>104</v>
      </c>
      <c r="AI110" s="3" t="str">
        <v>Staff Role: Chief Animation Director (eps 2, 4, 6, 8, 10)</v>
      </c>
    </row>
    <row r="111" spans="1:35" x14ac:dyDescent="0.3">
      <c r="A111" t="s">
        <v>13</v>
      </c>
      <c r="B111" s="5">
        <v>72</v>
      </c>
      <c r="C111" s="9">
        <v>10</v>
      </c>
      <c r="D111" s="6">
        <v>1.4054813773717401E-3</v>
      </c>
      <c r="E111" s="7">
        <v>0.10119465917076501</v>
      </c>
      <c r="G111" s="3" t="str">
        <f t="shared" si="20"/>
        <v/>
      </c>
      <c r="H111" s="3"/>
      <c r="J111" s="3">
        <f t="shared" si="21"/>
        <v>105</v>
      </c>
      <c r="K111" s="3" t="str">
        <v>Tag: Dragons</v>
      </c>
      <c r="M111" s="3">
        <f t="shared" si="22"/>
        <v>105</v>
      </c>
      <c r="N111" s="3" t="str">
        <v>Studio: Shogakukan-Shueisha Productions</v>
      </c>
      <c r="P111" s="3" t="str">
        <f t="shared" si="23"/>
        <v/>
      </c>
      <c r="Q111" s="3"/>
      <c r="S111" s="3" t="str">
        <f t="shared" si="24"/>
        <v/>
      </c>
      <c r="T111" s="3"/>
      <c r="V111" s="3" t="str">
        <f t="shared" si="25"/>
        <v/>
      </c>
      <c r="W111" s="3"/>
      <c r="Y111" s="3" t="str">
        <f t="shared" si="26"/>
        <v/>
      </c>
      <c r="Z111" s="3"/>
      <c r="AB111" s="3" t="str">
        <f t="shared" si="27"/>
        <v/>
      </c>
      <c r="AC111" s="3"/>
      <c r="AE111" s="3">
        <f t="shared" si="28"/>
        <v>105</v>
      </c>
      <c r="AF111" s="3" t="str">
        <v>Staff: Karino Takatsu (Original Creator)</v>
      </c>
      <c r="AH111" s="3">
        <f t="shared" si="19"/>
        <v>105</v>
      </c>
      <c r="AI111" s="3" t="str">
        <v>Staff Role: Accessory Design</v>
      </c>
    </row>
    <row r="112" spans="1:35" x14ac:dyDescent="0.3">
      <c r="A112" t="s">
        <v>22</v>
      </c>
      <c r="B112" s="5">
        <v>71</v>
      </c>
      <c r="C112" s="9">
        <v>10</v>
      </c>
      <c r="D112" s="6">
        <v>1.4054813773717401E-3</v>
      </c>
      <c r="E112" s="7">
        <v>9.9789177793394204E-2</v>
      </c>
      <c r="G112" s="3" t="str">
        <f t="shared" si="20"/>
        <v/>
      </c>
      <c r="H112" s="3"/>
      <c r="J112" s="3">
        <f t="shared" si="21"/>
        <v>106</v>
      </c>
      <c r="K112" s="3" t="str">
        <v>Tag: Villainess</v>
      </c>
      <c r="M112" s="3">
        <f t="shared" si="22"/>
        <v>106</v>
      </c>
      <c r="N112" s="3" t="str">
        <v>Studio: Kanetsuu Investment</v>
      </c>
      <c r="P112" s="3" t="str">
        <f t="shared" si="23"/>
        <v/>
      </c>
      <c r="Q112" s="3"/>
      <c r="S112" s="3" t="str">
        <f t="shared" si="24"/>
        <v/>
      </c>
      <c r="T112" s="3"/>
      <c r="V112" s="3" t="str">
        <f t="shared" si="25"/>
        <v/>
      </c>
      <c r="W112" s="3"/>
      <c r="Y112" s="3" t="str">
        <f t="shared" si="26"/>
        <v/>
      </c>
      <c r="Z112" s="3"/>
      <c r="AB112" s="3" t="str">
        <f t="shared" si="27"/>
        <v/>
      </c>
      <c r="AC112" s="3"/>
      <c r="AE112" s="3">
        <f t="shared" si="28"/>
        <v>106</v>
      </c>
      <c r="AF112" s="3" t="str">
        <v>Staff: Naoya Kinoshita (Planning)</v>
      </c>
      <c r="AH112" s="3">
        <f t="shared" si="19"/>
        <v>106</v>
      </c>
      <c r="AI112" s="3" t="str">
        <v>Staff Role: Chief Animation Director (eps 1-11)</v>
      </c>
    </row>
    <row r="113" spans="1:35" x14ac:dyDescent="0.3">
      <c r="A113" t="s">
        <v>68</v>
      </c>
      <c r="B113" s="5">
        <v>78.8888888888888</v>
      </c>
      <c r="C113" s="9">
        <v>9</v>
      </c>
      <c r="D113" s="6">
        <v>1.26493323963457E-3</v>
      </c>
      <c r="E113" s="7">
        <v>9.9789177793394204E-2</v>
      </c>
      <c r="G113" s="3" t="str">
        <f t="shared" si="20"/>
        <v/>
      </c>
      <c r="H113" s="3"/>
      <c r="J113" s="3">
        <f t="shared" si="21"/>
        <v>107</v>
      </c>
      <c r="K113" s="3" t="str">
        <v>Tag: Masochism</v>
      </c>
      <c r="M113" s="3">
        <f t="shared" si="22"/>
        <v>107</v>
      </c>
      <c r="N113" s="3" t="str">
        <v>Studio: Christmas Holly</v>
      </c>
      <c r="P113" s="3" t="str">
        <f t="shared" si="23"/>
        <v/>
      </c>
      <c r="Q113" s="3"/>
      <c r="S113" s="3" t="str">
        <f t="shared" si="24"/>
        <v/>
      </c>
      <c r="T113" s="3"/>
      <c r="V113" s="3" t="str">
        <f t="shared" si="25"/>
        <v/>
      </c>
      <c r="W113" s="3"/>
      <c r="Y113" s="3" t="str">
        <f t="shared" si="26"/>
        <v/>
      </c>
      <c r="Z113" s="3"/>
      <c r="AB113" s="3" t="str">
        <f t="shared" si="27"/>
        <v/>
      </c>
      <c r="AC113" s="3"/>
      <c r="AE113" s="3">
        <f t="shared" si="28"/>
        <v>107</v>
      </c>
      <c r="AF113" s="3" t="str">
        <v>Staff: Takeshi Hirooka (Director of Photography)</v>
      </c>
      <c r="AH113" s="3">
        <f t="shared" si="19"/>
        <v>107</v>
      </c>
      <c r="AI113" s="3" t="str">
        <v>Staff Role: Key Animation (OP, ep 1)</v>
      </c>
    </row>
    <row r="114" spans="1:35" x14ac:dyDescent="0.3">
      <c r="A114" t="s">
        <v>155</v>
      </c>
      <c r="B114" s="5">
        <v>75.5555555555555</v>
      </c>
      <c r="C114" s="9">
        <v>9</v>
      </c>
      <c r="D114" s="6">
        <v>1.26493323963457E-3</v>
      </c>
      <c r="E114" s="7">
        <v>9.5572733661278997E-2</v>
      </c>
      <c r="G114" s="3" t="str">
        <f t="shared" si="20"/>
        <v/>
      </c>
      <c r="H114" s="3"/>
      <c r="J114" s="3">
        <f t="shared" si="21"/>
        <v>108</v>
      </c>
      <c r="K114" s="3" t="str">
        <v>Tag: Anachronism</v>
      </c>
      <c r="M114" s="3">
        <f t="shared" si="22"/>
        <v>108</v>
      </c>
      <c r="N114" s="3" t="str">
        <v>Studio: Ichijinsha</v>
      </c>
      <c r="P114" s="3" t="str">
        <f t="shared" si="23"/>
        <v/>
      </c>
      <c r="Q114" s="3"/>
      <c r="S114" s="3" t="str">
        <f t="shared" si="24"/>
        <v/>
      </c>
      <c r="T114" s="3"/>
      <c r="V114" s="3" t="str">
        <f t="shared" si="25"/>
        <v/>
      </c>
      <c r="W114" s="3"/>
      <c r="Y114" s="3" t="str">
        <f t="shared" si="26"/>
        <v/>
      </c>
      <c r="Z114" s="3"/>
      <c r="AB114" s="3" t="str">
        <f t="shared" si="27"/>
        <v/>
      </c>
      <c r="AC114" s="3"/>
      <c r="AE114" s="3">
        <f t="shared" si="28"/>
        <v>108</v>
      </c>
      <c r="AF114" s="3" t="str">
        <v>Staff: Yoshihiro Ike (Music)</v>
      </c>
      <c r="AH114" s="3">
        <f t="shared" si="19"/>
        <v>108</v>
      </c>
      <c r="AI114" s="3" t="str">
        <v>Staff Role: Storyboard (ED)</v>
      </c>
    </row>
    <row r="115" spans="1:35" x14ac:dyDescent="0.3">
      <c r="A115" t="s">
        <v>514</v>
      </c>
      <c r="B115" s="5">
        <v>75.5555555555555</v>
      </c>
      <c r="C115" s="9">
        <v>9</v>
      </c>
      <c r="D115" s="6">
        <v>1.26493323963457E-3</v>
      </c>
      <c r="E115" s="7">
        <v>9.5572733661278997E-2</v>
      </c>
      <c r="G115" s="3" t="str">
        <f t="shared" si="20"/>
        <v/>
      </c>
      <c r="H115" s="3"/>
      <c r="J115" s="3">
        <f t="shared" si="21"/>
        <v>109</v>
      </c>
      <c r="K115" s="3" t="str">
        <v>Tag: Afterlife</v>
      </c>
      <c r="M115" s="3">
        <f t="shared" si="22"/>
        <v>109</v>
      </c>
      <c r="N115" s="3" t="str">
        <v>Studio: Felix Film</v>
      </c>
      <c r="P115" s="3" t="str">
        <f t="shared" si="23"/>
        <v/>
      </c>
      <c r="Q115" s="3"/>
      <c r="S115" s="3" t="str">
        <f t="shared" si="24"/>
        <v/>
      </c>
      <c r="T115" s="3"/>
      <c r="V115" s="3" t="str">
        <f t="shared" si="25"/>
        <v/>
      </c>
      <c r="W115" s="3"/>
      <c r="Y115" s="3" t="str">
        <f t="shared" si="26"/>
        <v/>
      </c>
      <c r="Z115" s="3"/>
      <c r="AB115" s="3" t="str">
        <f t="shared" si="27"/>
        <v/>
      </c>
      <c r="AC115" s="3"/>
      <c r="AE115" s="3">
        <f t="shared" si="28"/>
        <v>109</v>
      </c>
      <c r="AF115" s="3" t="str">
        <v>Staff: Yukio Nagasaki (Sound Director)</v>
      </c>
      <c r="AH115" s="3">
        <f t="shared" si="19"/>
        <v>109</v>
      </c>
      <c r="AI115" s="3" t="str">
        <v>Staff Role: Episode Director (eps 4, 8)</v>
      </c>
    </row>
    <row r="116" spans="1:35" x14ac:dyDescent="0.3">
      <c r="A116" t="s">
        <v>104</v>
      </c>
      <c r="B116" s="5">
        <v>82.5</v>
      </c>
      <c r="C116" s="9">
        <v>8</v>
      </c>
      <c r="D116" s="6">
        <v>1.1243851018973999E-3</v>
      </c>
      <c r="E116" s="7">
        <v>9.2761770906535396E-2</v>
      </c>
      <c r="G116" s="3" t="str">
        <f t="shared" si="20"/>
        <v/>
      </c>
      <c r="H116" s="3"/>
      <c r="J116" s="3">
        <f t="shared" si="21"/>
        <v>110</v>
      </c>
      <c r="K116" s="3" t="str">
        <v>Tag: Gangs</v>
      </c>
      <c r="M116" s="3">
        <f t="shared" si="22"/>
        <v>110</v>
      </c>
      <c r="N116" s="3" t="str">
        <v>Studio: bilibili</v>
      </c>
      <c r="P116" s="3" t="str">
        <f t="shared" si="23"/>
        <v/>
      </c>
      <c r="Q116" s="3"/>
      <c r="S116" s="3" t="str">
        <f t="shared" si="24"/>
        <v/>
      </c>
      <c r="T116" s="3"/>
      <c r="V116" s="3" t="str">
        <f t="shared" si="25"/>
        <v/>
      </c>
      <c r="W116" s="3"/>
      <c r="Y116" s="3" t="str">
        <f t="shared" si="26"/>
        <v/>
      </c>
      <c r="Z116" s="3"/>
      <c r="AB116" s="3" t="str">
        <f t="shared" si="27"/>
        <v/>
      </c>
      <c r="AC116" s="3"/>
      <c r="AE116" s="3">
        <f t="shared" si="28"/>
        <v>110</v>
      </c>
      <c r="AF116" s="3" t="str">
        <v>Staff: Keisuke Yanagi (Editing)</v>
      </c>
      <c r="AH116" s="3">
        <f t="shared" si="19"/>
        <v>110</v>
      </c>
      <c r="AI116" s="3" t="str">
        <v>Staff Role: Key Animation  (ED)</v>
      </c>
    </row>
    <row r="117" spans="1:35" x14ac:dyDescent="0.3">
      <c r="A117" t="s">
        <v>140</v>
      </c>
      <c r="B117" s="5">
        <v>73.3333333333333</v>
      </c>
      <c r="C117" s="9">
        <v>9</v>
      </c>
      <c r="D117" s="6">
        <v>1.26493323963457E-3</v>
      </c>
      <c r="E117" s="7">
        <v>9.2761770906535396E-2</v>
      </c>
      <c r="G117" s="3" t="str">
        <f t="shared" si="20"/>
        <v/>
      </c>
      <c r="H117" s="3"/>
      <c r="J117" s="3">
        <f t="shared" si="21"/>
        <v>111</v>
      </c>
      <c r="K117" s="3" t="str">
        <v>Tag: Cyborg</v>
      </c>
      <c r="M117" s="3">
        <f t="shared" si="22"/>
        <v>111</v>
      </c>
      <c r="N117" s="3" t="str">
        <v>Studio: ADV Films</v>
      </c>
      <c r="P117" s="3" t="str">
        <f t="shared" si="23"/>
        <v/>
      </c>
      <c r="Q117" s="3"/>
      <c r="S117" s="3" t="str">
        <f t="shared" si="24"/>
        <v/>
      </c>
      <c r="T117" s="3"/>
      <c r="V117" s="3" t="str">
        <f t="shared" si="25"/>
        <v/>
      </c>
      <c r="W117" s="3"/>
      <c r="Y117" s="3" t="str">
        <f t="shared" si="26"/>
        <v/>
      </c>
      <c r="Z117" s="3"/>
      <c r="AB117" s="3" t="str">
        <f t="shared" si="27"/>
        <v/>
      </c>
      <c r="AC117" s="3"/>
      <c r="AE117" s="3">
        <f t="shared" si="28"/>
        <v>111</v>
      </c>
      <c r="AF117" s="3" t="str">
        <v>Staff: Tomokazu Sugita (Insert Song Performance  (ep 133))</v>
      </c>
      <c r="AH117" s="3">
        <f t="shared" si="19"/>
        <v>111</v>
      </c>
      <c r="AI117" s="3" t="str">
        <v>Staff Role: Weapon Design</v>
      </c>
    </row>
    <row r="118" spans="1:35" x14ac:dyDescent="0.3">
      <c r="A118" t="s">
        <v>278</v>
      </c>
      <c r="B118" s="5">
        <v>82.5</v>
      </c>
      <c r="C118" s="9">
        <v>8</v>
      </c>
      <c r="D118" s="6">
        <v>1.1243851018973999E-3</v>
      </c>
      <c r="E118" s="7">
        <v>9.2761770906535396E-2</v>
      </c>
      <c r="G118" s="3" t="str">
        <f t="shared" si="20"/>
        <v/>
      </c>
      <c r="H118" s="3"/>
      <c r="J118" s="3">
        <f t="shared" si="21"/>
        <v>112</v>
      </c>
      <c r="K118" s="3" t="str">
        <v>Tag: Virtual World</v>
      </c>
      <c r="M118" s="3">
        <f t="shared" si="22"/>
        <v>112</v>
      </c>
      <c r="N118" s="3" t="str">
        <v>Studio: Imagica</v>
      </c>
      <c r="P118" s="3" t="str">
        <f t="shared" si="23"/>
        <v/>
      </c>
      <c r="Q118" s="3"/>
      <c r="S118" s="3" t="str">
        <f t="shared" si="24"/>
        <v/>
      </c>
      <c r="T118" s="3"/>
      <c r="V118" s="3" t="str">
        <f t="shared" si="25"/>
        <v/>
      </c>
      <c r="W118" s="3"/>
      <c r="Y118" s="3" t="str">
        <f t="shared" si="26"/>
        <v/>
      </c>
      <c r="Z118" s="3"/>
      <c r="AB118" s="3" t="str">
        <f t="shared" si="27"/>
        <v/>
      </c>
      <c r="AC118" s="3"/>
      <c r="AE118" s="3">
        <f t="shared" si="28"/>
        <v>112</v>
      </c>
      <c r="AF118" s="3" t="str">
        <v>Staff: Mikako Takahashi (Insert Song Performance)</v>
      </c>
      <c r="AH118" s="3">
        <f t="shared" si="19"/>
        <v>112</v>
      </c>
      <c r="AI118" s="3" t="str">
        <v>Staff Role: Storyboard (ep 1)</v>
      </c>
    </row>
    <row r="119" spans="1:35" x14ac:dyDescent="0.3">
      <c r="A119" t="s">
        <v>339</v>
      </c>
      <c r="B119" s="5">
        <v>73.3333333333333</v>
      </c>
      <c r="C119" s="9">
        <v>9</v>
      </c>
      <c r="D119" s="6">
        <v>1.26493323963457E-3</v>
      </c>
      <c r="E119" s="7">
        <v>9.2761770906535396E-2</v>
      </c>
      <c r="G119" s="3" t="str">
        <f t="shared" si="20"/>
        <v/>
      </c>
      <c r="H119" s="3"/>
      <c r="J119" s="3">
        <f t="shared" si="21"/>
        <v>113</v>
      </c>
      <c r="K119" s="3" t="str">
        <v>Tag: Assassins</v>
      </c>
      <c r="M119" s="3">
        <f t="shared" si="22"/>
        <v>113</v>
      </c>
      <c r="N119" s="3" t="str">
        <v>Studio: Cosmic Ray</v>
      </c>
      <c r="P119" s="3" t="str">
        <f t="shared" si="23"/>
        <v/>
      </c>
      <c r="Q119" s="3"/>
      <c r="S119" s="3" t="str">
        <f t="shared" si="24"/>
        <v/>
      </c>
      <c r="T119" s="3"/>
      <c r="V119" s="3" t="str">
        <f t="shared" si="25"/>
        <v/>
      </c>
      <c r="W119" s="3"/>
      <c r="Y119" s="3" t="str">
        <f t="shared" si="26"/>
        <v/>
      </c>
      <c r="Z119" s="3"/>
      <c r="AB119" s="3" t="str">
        <f t="shared" si="27"/>
        <v/>
      </c>
      <c r="AC119" s="3"/>
      <c r="AE119" s="3">
        <f t="shared" si="28"/>
        <v>113</v>
      </c>
      <c r="AF119" s="3" t="str">
        <v>Staff: Hideaki Sorachi (Original Creator)</v>
      </c>
      <c r="AH119" s="3">
        <f t="shared" si="19"/>
        <v>113</v>
      </c>
      <c r="AI119" s="3" t="str">
        <v>Staff Role: Key Animation (ep 10)</v>
      </c>
    </row>
    <row r="120" spans="1:35" x14ac:dyDescent="0.3">
      <c r="A120" t="s">
        <v>709</v>
      </c>
      <c r="B120" s="5">
        <v>73.3333333333333</v>
      </c>
      <c r="C120" s="9">
        <v>9</v>
      </c>
      <c r="D120" s="6">
        <v>1.26493323963457E-3</v>
      </c>
      <c r="E120" s="7">
        <v>9.2761770906535396E-2</v>
      </c>
      <c r="G120" s="3" t="str">
        <f t="shared" si="20"/>
        <v/>
      </c>
      <c r="H120" s="3"/>
      <c r="J120" s="3">
        <f t="shared" si="21"/>
        <v>114</v>
      </c>
      <c r="K120" s="3" t="str">
        <v>Tag: Primarily Child Cast</v>
      </c>
      <c r="M120" s="3">
        <f t="shared" si="22"/>
        <v>114</v>
      </c>
      <c r="N120" s="3" t="str">
        <v>Studio: Studio Blanc</v>
      </c>
      <c r="P120" s="3" t="str">
        <f t="shared" si="23"/>
        <v/>
      </c>
      <c r="Q120" s="3"/>
      <c r="S120" s="3" t="str">
        <f t="shared" si="24"/>
        <v/>
      </c>
      <c r="T120" s="3"/>
      <c r="V120" s="3" t="str">
        <f t="shared" si="25"/>
        <v/>
      </c>
      <c r="W120" s="3"/>
      <c r="Y120" s="3" t="str">
        <f t="shared" si="26"/>
        <v/>
      </c>
      <c r="Z120" s="3"/>
      <c r="AB120" s="3" t="str">
        <f t="shared" si="27"/>
        <v/>
      </c>
      <c r="AC120" s="3"/>
      <c r="AE120" s="3">
        <f t="shared" si="28"/>
        <v>114</v>
      </c>
      <c r="AF120" s="3" t="str">
        <v>Staff: Michiko Yokote (Script)</v>
      </c>
      <c r="AH120" s="3">
        <f t="shared" si="19"/>
        <v>114</v>
      </c>
      <c r="AI120" s="3" t="str">
        <v>Staff Role: Storyboard (ep 2)</v>
      </c>
    </row>
    <row r="121" spans="1:35" x14ac:dyDescent="0.3">
      <c r="A121" t="s">
        <v>21</v>
      </c>
      <c r="B121" s="5">
        <v>72.2222222222222</v>
      </c>
      <c r="C121" s="9">
        <v>9</v>
      </c>
      <c r="D121" s="6">
        <v>1.26493323963457E-3</v>
      </c>
      <c r="E121" s="7">
        <v>9.1356289529163706E-2</v>
      </c>
      <c r="G121" s="3" t="str">
        <f t="shared" si="20"/>
        <v/>
      </c>
      <c r="H121" s="3"/>
      <c r="J121" s="3">
        <f t="shared" si="21"/>
        <v>115</v>
      </c>
      <c r="K121" s="3" t="str">
        <v>Tag: Religion</v>
      </c>
      <c r="M121" s="3">
        <f t="shared" si="22"/>
        <v>115</v>
      </c>
      <c r="N121" s="3" t="str">
        <v>Studio: Dream Creation</v>
      </c>
      <c r="P121" s="3" t="str">
        <f t="shared" si="23"/>
        <v/>
      </c>
      <c r="Q121" s="3"/>
      <c r="S121" s="3" t="str">
        <f t="shared" si="24"/>
        <v/>
      </c>
      <c r="T121" s="3"/>
      <c r="V121" s="3" t="str">
        <f t="shared" si="25"/>
        <v/>
      </c>
      <c r="W121" s="3"/>
      <c r="Y121" s="3" t="str">
        <f t="shared" si="26"/>
        <v/>
      </c>
      <c r="Z121" s="3"/>
      <c r="AB121" s="3" t="str">
        <f t="shared" si="27"/>
        <v/>
      </c>
      <c r="AC121" s="3"/>
      <c r="AE121" s="3">
        <f t="shared" si="28"/>
        <v>115</v>
      </c>
      <c r="AF121" s="3" t="str">
        <v>Staff: Shinji Takamatsu (Storyboard)</v>
      </c>
      <c r="AH121" s="3">
        <f t="shared" si="19"/>
        <v>115</v>
      </c>
      <c r="AI121" s="3" t="str">
        <v>Staff Role: Supervisor</v>
      </c>
    </row>
    <row r="122" spans="1:35" x14ac:dyDescent="0.3">
      <c r="A122" t="s">
        <v>92</v>
      </c>
      <c r="B122" s="5">
        <v>81.25</v>
      </c>
      <c r="C122" s="9">
        <v>8</v>
      </c>
      <c r="D122" s="6">
        <v>1.1243851018973999E-3</v>
      </c>
      <c r="E122" s="7">
        <v>9.1356289529163706E-2</v>
      </c>
      <c r="G122" s="3" t="str">
        <f t="shared" si="20"/>
        <v/>
      </c>
      <c r="H122" s="3"/>
      <c r="J122" s="3">
        <f t="shared" si="21"/>
        <v>116</v>
      </c>
      <c r="K122" s="3" t="str">
        <v>Tag: Fugitive</v>
      </c>
      <c r="M122" s="3">
        <f t="shared" si="22"/>
        <v>116</v>
      </c>
      <c r="N122" s="3" t="str">
        <v>Studio: Hoods Entertainment</v>
      </c>
      <c r="P122" s="3" t="str">
        <f t="shared" si="23"/>
        <v/>
      </c>
      <c r="Q122" s="3"/>
      <c r="S122" s="3" t="str">
        <f t="shared" si="24"/>
        <v/>
      </c>
      <c r="T122" s="3"/>
      <c r="V122" s="3" t="str">
        <f t="shared" si="25"/>
        <v/>
      </c>
      <c r="W122" s="3"/>
      <c r="Y122" s="3" t="str">
        <f t="shared" si="26"/>
        <v/>
      </c>
      <c r="Z122" s="3"/>
      <c r="AB122" s="3" t="str">
        <f t="shared" si="27"/>
        <v/>
      </c>
      <c r="AC122" s="3"/>
      <c r="AE122" s="3">
        <f t="shared" si="28"/>
        <v>116</v>
      </c>
      <c r="AF122" s="3" t="str">
        <v>Staff: Yukiko Ban (Animation Director)</v>
      </c>
      <c r="AH122" s="3">
        <f t="shared" si="19"/>
        <v>116</v>
      </c>
      <c r="AI122" s="3" t="str">
        <v>Staff Role: Theme Song Performance (OP, ED: ep 12)</v>
      </c>
    </row>
    <row r="123" spans="1:35" x14ac:dyDescent="0.3">
      <c r="A123" t="s">
        <v>635</v>
      </c>
      <c r="B123" s="5">
        <v>72.2222222222222</v>
      </c>
      <c r="C123" s="9">
        <v>9</v>
      </c>
      <c r="D123" s="6">
        <v>1.26493323963457E-3</v>
      </c>
      <c r="E123" s="7">
        <v>9.1356289529163706E-2</v>
      </c>
      <c r="G123" s="3" t="str">
        <f t="shared" si="20"/>
        <v/>
      </c>
      <c r="H123" s="3"/>
      <c r="J123" s="3">
        <f t="shared" si="21"/>
        <v>117</v>
      </c>
      <c r="K123" s="3" t="str">
        <v>Tag: College</v>
      </c>
      <c r="M123" s="3">
        <f t="shared" si="22"/>
        <v>117</v>
      </c>
      <c r="N123" s="3" t="str">
        <v>Studio: NTT Plala</v>
      </c>
      <c r="P123" s="3" t="str">
        <f t="shared" si="23"/>
        <v/>
      </c>
      <c r="Q123" s="3"/>
      <c r="S123" s="3" t="str">
        <f t="shared" si="24"/>
        <v/>
      </c>
      <c r="T123" s="3"/>
      <c r="V123" s="3" t="str">
        <f t="shared" si="25"/>
        <v/>
      </c>
      <c r="W123" s="3"/>
      <c r="Y123" s="3" t="str">
        <f t="shared" si="26"/>
        <v/>
      </c>
      <c r="Z123" s="3"/>
      <c r="AB123" s="3" t="str">
        <f t="shared" si="27"/>
        <v/>
      </c>
      <c r="AC123" s="3"/>
      <c r="AE123" s="3">
        <f t="shared" si="28"/>
        <v>117</v>
      </c>
      <c r="AF123" s="3" t="str">
        <v>Staff: Yukiko Ban (Key Animation)</v>
      </c>
      <c r="AH123" s="3">
        <f t="shared" si="19"/>
        <v>117</v>
      </c>
      <c r="AI123" s="3" t="str">
        <v>Staff Role: Theme Song Arrangement (ED1)</v>
      </c>
    </row>
    <row r="124" spans="1:35" x14ac:dyDescent="0.3">
      <c r="A124" t="s">
        <v>3</v>
      </c>
      <c r="B124" s="5">
        <v>70</v>
      </c>
      <c r="C124" s="9">
        <v>9</v>
      </c>
      <c r="D124" s="6">
        <v>1.26493323963457E-3</v>
      </c>
      <c r="E124" s="7">
        <v>8.8545326774420202E-2</v>
      </c>
      <c r="G124" s="3" t="str">
        <f t="shared" si="20"/>
        <v/>
      </c>
      <c r="H124" s="3"/>
      <c r="J124" s="3">
        <f t="shared" si="21"/>
        <v>118</v>
      </c>
      <c r="K124" s="3" t="str">
        <v>Tag: Bar</v>
      </c>
      <c r="M124" s="3">
        <f t="shared" si="22"/>
        <v>118</v>
      </c>
      <c r="N124" s="3" t="str">
        <v>Studio: Shogakukan</v>
      </c>
      <c r="P124" s="3" t="str">
        <f t="shared" si="23"/>
        <v/>
      </c>
      <c r="Q124" s="3"/>
      <c r="S124" s="3" t="str">
        <f t="shared" si="24"/>
        <v/>
      </c>
      <c r="T124" s="3"/>
      <c r="V124" s="3" t="str">
        <f t="shared" si="25"/>
        <v/>
      </c>
      <c r="W124" s="3"/>
      <c r="Y124" s="3" t="str">
        <f t="shared" si="26"/>
        <v/>
      </c>
      <c r="Z124" s="3"/>
      <c r="AB124" s="3" t="str">
        <f t="shared" si="27"/>
        <v/>
      </c>
      <c r="AC124" s="3"/>
      <c r="AE124" s="3">
        <f t="shared" si="28"/>
        <v>118</v>
      </c>
      <c r="AF124" s="3" t="str">
        <v>Staff: Hitomi Takahashi (Theme Song Performance (ED4))</v>
      </c>
      <c r="AH124" s="3">
        <f t="shared" si="19"/>
        <v>118</v>
      </c>
      <c r="AI124" s="3" t="str">
        <v>Staff Role: Theme Song Composition (ED1)</v>
      </c>
    </row>
    <row r="125" spans="1:35" x14ac:dyDescent="0.3">
      <c r="A125" t="s">
        <v>125</v>
      </c>
      <c r="B125" s="5">
        <v>78.75</v>
      </c>
      <c r="C125" s="9">
        <v>8</v>
      </c>
      <c r="D125" s="6">
        <v>1.1243851018973999E-3</v>
      </c>
      <c r="E125" s="7">
        <v>8.8545326774420202E-2</v>
      </c>
      <c r="G125" s="3" t="str">
        <f t="shared" si="20"/>
        <v/>
      </c>
      <c r="H125" s="3"/>
      <c r="J125" s="3">
        <f t="shared" si="21"/>
        <v>119</v>
      </c>
      <c r="K125" s="3" t="str">
        <v>Tag: Agender</v>
      </c>
      <c r="M125" s="3">
        <f t="shared" si="22"/>
        <v>119</v>
      </c>
      <c r="N125" s="3" t="str">
        <v>Studio: Ray</v>
      </c>
      <c r="P125" s="3" t="str">
        <f t="shared" si="23"/>
        <v/>
      </c>
      <c r="Q125" s="3"/>
      <c r="S125" s="3" t="str">
        <f t="shared" si="24"/>
        <v/>
      </c>
      <c r="T125" s="3"/>
      <c r="V125" s="3" t="str">
        <f t="shared" si="25"/>
        <v/>
      </c>
      <c r="W125" s="3"/>
      <c r="Y125" s="3" t="str">
        <f t="shared" si="26"/>
        <v/>
      </c>
      <c r="Z125" s="3"/>
      <c r="AB125" s="3" t="str">
        <f t="shared" si="27"/>
        <v/>
      </c>
      <c r="AC125" s="3"/>
      <c r="AE125" s="3">
        <f t="shared" si="28"/>
        <v>119</v>
      </c>
      <c r="AF125" s="3" t="str">
        <v>Staff: Akatsuki Yamatoya (Series Composition)</v>
      </c>
      <c r="AH125" s="3">
        <f t="shared" si="19"/>
        <v>119</v>
      </c>
      <c r="AI125" s="3" t="str">
        <v>Staff Role: Storyboard  (ep 10)</v>
      </c>
    </row>
    <row r="126" spans="1:35" x14ac:dyDescent="0.3">
      <c r="A126" t="s">
        <v>192</v>
      </c>
      <c r="B126" s="5">
        <v>78.75</v>
      </c>
      <c r="C126" s="9">
        <v>8</v>
      </c>
      <c r="D126" s="6">
        <v>1.1243851018973999E-3</v>
      </c>
      <c r="E126" s="7">
        <v>8.8545326774420202E-2</v>
      </c>
      <c r="G126" s="3" t="str">
        <f t="shared" si="20"/>
        <v/>
      </c>
      <c r="H126" s="3"/>
      <c r="J126" s="3">
        <f t="shared" si="21"/>
        <v>120</v>
      </c>
      <c r="K126" s="3" t="str">
        <v>Tag: Succubus</v>
      </c>
      <c r="M126" s="3">
        <f t="shared" si="22"/>
        <v>120</v>
      </c>
      <c r="N126" s="3" t="str">
        <v>Studio: TMS Entertainment</v>
      </c>
      <c r="P126" s="3" t="str">
        <f t="shared" si="23"/>
        <v/>
      </c>
      <c r="Q126" s="3"/>
      <c r="S126" s="3" t="str">
        <f t="shared" si="24"/>
        <v/>
      </c>
      <c r="T126" s="3"/>
      <c r="V126" s="3" t="str">
        <f t="shared" si="25"/>
        <v/>
      </c>
      <c r="W126" s="3"/>
      <c r="Y126" s="3" t="str">
        <f t="shared" si="26"/>
        <v/>
      </c>
      <c r="Z126" s="3"/>
      <c r="AB126" s="3" t="str">
        <f t="shared" si="27"/>
        <v/>
      </c>
      <c r="AC126" s="3"/>
      <c r="AE126" s="3">
        <f t="shared" si="28"/>
        <v>120</v>
      </c>
      <c r="AF126" s="3" t="str">
        <v>Staff: Akatsuki Yamatoya (Script)</v>
      </c>
      <c r="AH126" s="3">
        <f t="shared" si="19"/>
        <v>120</v>
      </c>
      <c r="AI126" s="3" t="str">
        <v>Staff Role: Key Animation (ep 9)</v>
      </c>
    </row>
    <row r="127" spans="1:35" x14ac:dyDescent="0.3">
      <c r="A127" t="s">
        <v>318</v>
      </c>
      <c r="B127" s="5">
        <v>78.75</v>
      </c>
      <c r="C127" s="9">
        <v>8</v>
      </c>
      <c r="D127" s="6">
        <v>1.1243851018973999E-3</v>
      </c>
      <c r="E127" s="7">
        <v>8.8545326774420202E-2</v>
      </c>
      <c r="G127" s="3" t="str">
        <f t="shared" si="20"/>
        <v/>
      </c>
      <c r="H127" s="3"/>
      <c r="J127" s="3">
        <f t="shared" si="21"/>
        <v>121</v>
      </c>
      <c r="K127" s="3" t="str">
        <v>Tag: Ojou-sama</v>
      </c>
      <c r="M127" s="3">
        <f t="shared" si="22"/>
        <v>121</v>
      </c>
      <c r="N127" s="3" t="str">
        <v>Studio: MAPPA</v>
      </c>
      <c r="P127" s="3" t="str">
        <f t="shared" si="23"/>
        <v/>
      </c>
      <c r="Q127" s="3"/>
      <c r="S127" s="3" t="str">
        <f t="shared" si="24"/>
        <v/>
      </c>
      <c r="T127" s="3"/>
      <c r="V127" s="3" t="str">
        <f t="shared" si="25"/>
        <v/>
      </c>
      <c r="W127" s="3"/>
      <c r="Y127" s="3" t="str">
        <f t="shared" si="26"/>
        <v/>
      </c>
      <c r="Z127" s="3"/>
      <c r="AB127" s="3" t="str">
        <f t="shared" si="27"/>
        <v/>
      </c>
      <c r="AC127" s="3"/>
      <c r="AE127" s="3">
        <f t="shared" si="28"/>
        <v>121</v>
      </c>
      <c r="AF127" s="3" t="str">
        <v>Staff: Tomoko Kawase (Theme Song Performance (OP 1))</v>
      </c>
      <c r="AH127" s="3">
        <f t="shared" si="19"/>
        <v>121</v>
      </c>
      <c r="AI127" s="3" t="str">
        <v>Staff Role: Episode Director (eps 5, 9)</v>
      </c>
    </row>
    <row r="128" spans="1:35" x14ac:dyDescent="0.3">
      <c r="A128" t="s">
        <v>186</v>
      </c>
      <c r="B128" s="5">
        <v>77.5</v>
      </c>
      <c r="C128" s="9">
        <v>8</v>
      </c>
      <c r="D128" s="6">
        <v>1.1243851018973999E-3</v>
      </c>
      <c r="E128" s="7">
        <v>8.7139845397048499E-2</v>
      </c>
      <c r="G128" s="3" t="str">
        <f t="shared" si="20"/>
        <v/>
      </c>
      <c r="H128" s="3"/>
      <c r="J128" s="3">
        <f t="shared" si="21"/>
        <v>122</v>
      </c>
      <c r="K128" s="3" t="str">
        <v>Tag: Cute Boys Doing Cute Things</v>
      </c>
      <c r="M128" s="3">
        <f t="shared" si="22"/>
        <v>122</v>
      </c>
      <c r="N128" s="3" t="str">
        <v>Studio: DMM pictures</v>
      </c>
      <c r="P128" s="3" t="str">
        <f t="shared" si="23"/>
        <v/>
      </c>
      <c r="Q128" s="3"/>
      <c r="S128" s="3" t="str">
        <f t="shared" si="24"/>
        <v/>
      </c>
      <c r="T128" s="3"/>
      <c r="V128" s="3" t="str">
        <f t="shared" si="25"/>
        <v/>
      </c>
      <c r="W128" s="3"/>
      <c r="Y128" s="3" t="str">
        <f t="shared" si="26"/>
        <v/>
      </c>
      <c r="Z128" s="3"/>
      <c r="AB128" s="3" t="str">
        <f t="shared" si="27"/>
        <v/>
      </c>
      <c r="AC128" s="3"/>
      <c r="AE128" s="3">
        <f t="shared" si="28"/>
        <v>122</v>
      </c>
      <c r="AF128" s="3" t="str">
        <v>Staff: Tomoko Kawase (Theme Song Lyrics (OP1))</v>
      </c>
      <c r="AH128" s="3">
        <f t="shared" si="19"/>
        <v>122</v>
      </c>
      <c r="AI128" s="3" t="str">
        <v>Staff Role: Key Animation (ep 11)</v>
      </c>
    </row>
    <row r="129" spans="1:35" x14ac:dyDescent="0.3">
      <c r="A129" t="s">
        <v>115</v>
      </c>
      <c r="B129" s="5">
        <v>76.25</v>
      </c>
      <c r="C129" s="9">
        <v>8</v>
      </c>
      <c r="D129" s="6">
        <v>1.1243851018973999E-3</v>
      </c>
      <c r="E129" s="7">
        <v>8.5734364019676698E-2</v>
      </c>
      <c r="G129" s="3" t="str">
        <f t="shared" si="20"/>
        <v/>
      </c>
      <c r="H129" s="3"/>
      <c r="J129" s="3">
        <f t="shared" si="21"/>
        <v>123</v>
      </c>
      <c r="K129" s="3" t="str">
        <v>Tag: Athletics</v>
      </c>
      <c r="M129" s="3">
        <f t="shared" si="22"/>
        <v>123</v>
      </c>
      <c r="N129" s="3" t="str">
        <v>Studio: Bandai Entertainment</v>
      </c>
      <c r="P129" s="3" t="str">
        <f t="shared" si="23"/>
        <v/>
      </c>
      <c r="Q129" s="3"/>
      <c r="S129" s="3" t="str">
        <f t="shared" si="24"/>
        <v/>
      </c>
      <c r="T129" s="3"/>
      <c r="V129" s="3" t="str">
        <f t="shared" si="25"/>
        <v/>
      </c>
      <c r="W129" s="3"/>
      <c r="Y129" s="3" t="str">
        <f t="shared" si="26"/>
        <v/>
      </c>
      <c r="Z129" s="3"/>
      <c r="AB129" s="3" t="str">
        <f t="shared" si="27"/>
        <v/>
      </c>
      <c r="AC129" s="3"/>
      <c r="AE129" s="3">
        <f t="shared" si="28"/>
        <v>123</v>
      </c>
      <c r="AF129" s="3" t="str">
        <v>Staff: Joe Inoue (Theme Song Performance (R2))</v>
      </c>
      <c r="AH129" s="3">
        <f t="shared" si="19"/>
        <v>123</v>
      </c>
      <c r="AI129" s="3" t="str">
        <v>Staff Role: Photography</v>
      </c>
    </row>
    <row r="130" spans="1:35" x14ac:dyDescent="0.3">
      <c r="A130" t="s">
        <v>129</v>
      </c>
      <c r="B130" s="5">
        <v>76.25</v>
      </c>
      <c r="C130" s="9">
        <v>8</v>
      </c>
      <c r="D130" s="6">
        <v>1.1243851018973999E-3</v>
      </c>
      <c r="E130" s="7">
        <v>8.5734364019676698E-2</v>
      </c>
      <c r="G130" s="3" t="str">
        <f t="shared" si="20"/>
        <v/>
      </c>
      <c r="H130" s="3"/>
      <c r="J130" s="3">
        <f t="shared" si="21"/>
        <v>124</v>
      </c>
      <c r="K130" s="3" t="str">
        <v>Tag: Drawing</v>
      </c>
      <c r="M130" s="3">
        <f t="shared" si="22"/>
        <v>124</v>
      </c>
      <c r="N130" s="3" t="str">
        <v>Studio: Maho Film</v>
      </c>
      <c r="P130" s="3" t="str">
        <f t="shared" si="23"/>
        <v/>
      </c>
      <c r="Q130" s="3"/>
      <c r="S130" s="3" t="str">
        <f t="shared" si="24"/>
        <v/>
      </c>
      <c r="T130" s="3"/>
      <c r="V130" s="3" t="str">
        <f t="shared" si="25"/>
        <v/>
      </c>
      <c r="W130" s="3"/>
      <c r="Y130" s="3" t="str">
        <f t="shared" si="26"/>
        <v/>
      </c>
      <c r="Z130" s="3"/>
      <c r="AB130" s="3" t="str">
        <f t="shared" si="27"/>
        <v/>
      </c>
      <c r="AC130" s="3"/>
      <c r="AE130" s="3">
        <f t="shared" si="28"/>
        <v>124</v>
      </c>
      <c r="AF130" s="3" t="str">
        <v>Staff: Shinji Takeuchi (Character Design)</v>
      </c>
      <c r="AH130" s="3">
        <f t="shared" si="19"/>
        <v>124</v>
      </c>
      <c r="AI130" s="3" t="str">
        <v>Staff Role: Theme Song Composition</v>
      </c>
    </row>
    <row r="131" spans="1:35" x14ac:dyDescent="0.3">
      <c r="A131" t="s">
        <v>167</v>
      </c>
      <c r="B131" s="5">
        <v>75</v>
      </c>
      <c r="C131" s="9">
        <v>8</v>
      </c>
      <c r="D131" s="6">
        <v>1.1243851018973999E-3</v>
      </c>
      <c r="E131" s="7">
        <v>8.4328882642304995E-2</v>
      </c>
      <c r="G131" s="3" t="str">
        <f t="shared" si="20"/>
        <v/>
      </c>
      <c r="H131" s="3"/>
      <c r="J131" s="3">
        <f t="shared" si="21"/>
        <v>125</v>
      </c>
      <c r="K131" s="3" t="str">
        <v>Tag: Artificial Intelligence</v>
      </c>
      <c r="M131" s="3">
        <f t="shared" si="22"/>
        <v>125</v>
      </c>
      <c r="N131" s="3" t="str">
        <v>Studio: Toei Video</v>
      </c>
      <c r="P131" s="3" t="str">
        <f t="shared" si="23"/>
        <v/>
      </c>
      <c r="Q131" s="3"/>
      <c r="S131" s="3" t="str">
        <f t="shared" si="24"/>
        <v/>
      </c>
      <c r="T131" s="3"/>
      <c r="V131" s="3" t="str">
        <f t="shared" si="25"/>
        <v/>
      </c>
      <c r="W131" s="3"/>
      <c r="Y131" s="3" t="str">
        <f t="shared" si="26"/>
        <v/>
      </c>
      <c r="Z131" s="3"/>
      <c r="AB131" s="3" t="str">
        <f t="shared" si="27"/>
        <v/>
      </c>
      <c r="AC131" s="3"/>
      <c r="AE131" s="3">
        <f t="shared" si="28"/>
        <v>125</v>
      </c>
      <c r="AF131" s="3" t="str">
        <v>Staff:  Hearts Grow (Theme Song Performance (Kasanaru Kage))</v>
      </c>
      <c r="AH131" s="3">
        <f t="shared" si="19"/>
        <v>125</v>
      </c>
      <c r="AI131" s="3" t="str">
        <v>Staff Role: Episode Director (ep 9)</v>
      </c>
    </row>
    <row r="132" spans="1:35" x14ac:dyDescent="0.3">
      <c r="A132" t="s">
        <v>17</v>
      </c>
      <c r="B132" s="5">
        <v>73.75</v>
      </c>
      <c r="C132" s="9">
        <v>8</v>
      </c>
      <c r="D132" s="6">
        <v>1.1243851018973999E-3</v>
      </c>
      <c r="E132" s="7">
        <v>8.2923401264933194E-2</v>
      </c>
      <c r="G132" s="3" t="str">
        <f t="shared" si="20"/>
        <v/>
      </c>
      <c r="H132" s="3"/>
      <c r="J132" s="3">
        <f t="shared" si="21"/>
        <v>126</v>
      </c>
      <c r="K132" s="3" t="str">
        <v>Tag: Goblin</v>
      </c>
      <c r="M132" s="3">
        <f t="shared" si="22"/>
        <v>126</v>
      </c>
      <c r="N132" s="3" t="str">
        <v>Studio: Nikkatsu</v>
      </c>
      <c r="P132" s="3" t="str">
        <f t="shared" si="23"/>
        <v/>
      </c>
      <c r="Q132" s="3"/>
      <c r="S132" s="3" t="str">
        <f t="shared" si="24"/>
        <v/>
      </c>
      <c r="T132" s="3"/>
      <c r="V132" s="3" t="str">
        <f t="shared" si="25"/>
        <v/>
      </c>
      <c r="W132" s="3"/>
      <c r="Y132" s="3" t="str">
        <f t="shared" si="26"/>
        <v/>
      </c>
      <c r="Z132" s="3"/>
      <c r="AB132" s="3" t="str">
        <f t="shared" si="27"/>
        <v/>
      </c>
      <c r="AC132" s="3"/>
      <c r="AE132" s="3">
        <f t="shared" si="28"/>
        <v>126</v>
      </c>
      <c r="AF132" s="3" t="str">
        <v>Staff:  Beat Crusaders (Theme Song Performance  (ED14))</v>
      </c>
      <c r="AH132" s="3">
        <f t="shared" si="19"/>
        <v>126</v>
      </c>
      <c r="AI132" s="3" t="str">
        <v>Staff Role: Episode Director (ep 5)</v>
      </c>
    </row>
    <row r="133" spans="1:35" x14ac:dyDescent="0.3">
      <c r="A133" t="s">
        <v>119</v>
      </c>
      <c r="B133" s="5">
        <v>73.75</v>
      </c>
      <c r="C133" s="9">
        <v>8</v>
      </c>
      <c r="D133" s="6">
        <v>1.1243851018973999E-3</v>
      </c>
      <c r="E133" s="7">
        <v>8.2923401264933194E-2</v>
      </c>
      <c r="G133" s="3" t="str">
        <f t="shared" si="20"/>
        <v/>
      </c>
      <c r="H133" s="3"/>
      <c r="J133" s="3">
        <f t="shared" si="21"/>
        <v>127</v>
      </c>
      <c r="K133" s="3" t="str">
        <v>Tag: Hikikomori</v>
      </c>
      <c r="M133" s="3">
        <f t="shared" si="22"/>
        <v>127</v>
      </c>
      <c r="N133" s="3" t="str">
        <v>Studio: Hobby Japan</v>
      </c>
      <c r="P133" s="3" t="str">
        <f t="shared" si="23"/>
        <v/>
      </c>
      <c r="Q133" s="3"/>
      <c r="S133" s="3" t="str">
        <f t="shared" si="24"/>
        <v/>
      </c>
      <c r="T133" s="3"/>
      <c r="V133" s="3" t="str">
        <f t="shared" si="25"/>
        <v/>
      </c>
      <c r="W133" s="3"/>
      <c r="Y133" s="3" t="str">
        <f t="shared" si="26"/>
        <v/>
      </c>
      <c r="Z133" s="3"/>
      <c r="AB133" s="3" t="str">
        <f t="shared" si="27"/>
        <v/>
      </c>
      <c r="AC133" s="3"/>
      <c r="AE133" s="3">
        <f t="shared" si="28"/>
        <v>127</v>
      </c>
      <c r="AF133" s="3" t="str">
        <v>Staff:  Shigi (Theme Song Performance (12th ED))</v>
      </c>
      <c r="AH133" s="3">
        <f t="shared" si="19"/>
        <v>127</v>
      </c>
      <c r="AI133" s="3" t="str">
        <v>Staff Role: Key Animation (eps 3, 8)</v>
      </c>
    </row>
    <row r="134" spans="1:35" x14ac:dyDescent="0.3">
      <c r="A134" t="s">
        <v>281</v>
      </c>
      <c r="B134" s="5">
        <v>73.75</v>
      </c>
      <c r="C134" s="9">
        <v>8</v>
      </c>
      <c r="D134" s="6">
        <v>1.1243851018973999E-3</v>
      </c>
      <c r="E134" s="7">
        <v>8.2923401264933194E-2</v>
      </c>
      <c r="G134" s="3" t="str">
        <f t="shared" si="20"/>
        <v/>
      </c>
      <c r="H134" s="3"/>
      <c r="J134" s="3">
        <f t="shared" si="21"/>
        <v>128</v>
      </c>
      <c r="K134" s="3" t="str">
        <v>Tag: Reincarnation</v>
      </c>
      <c r="M134" s="3">
        <f t="shared" si="22"/>
        <v>128</v>
      </c>
      <c r="N134" s="3" t="str">
        <v>Studio: Bandai Namco Arts</v>
      </c>
      <c r="P134" s="3" t="str">
        <f t="shared" si="23"/>
        <v/>
      </c>
      <c r="Q134" s="3"/>
      <c r="S134" s="3" t="str">
        <f t="shared" si="24"/>
        <v/>
      </c>
      <c r="T134" s="3"/>
      <c r="V134" s="3" t="str">
        <f t="shared" si="25"/>
        <v/>
      </c>
      <c r="W134" s="3"/>
      <c r="Y134" s="3" t="str">
        <f t="shared" si="26"/>
        <v/>
      </c>
      <c r="Z134" s="3"/>
      <c r="AB134" s="3" t="str">
        <f t="shared" si="27"/>
        <v/>
      </c>
      <c r="AC134" s="3"/>
      <c r="AE134" s="3">
        <f t="shared" si="28"/>
        <v>128</v>
      </c>
      <c r="AF134" s="3" t="str">
        <v>Staff: Kelun  (Theme Song Performance (Ending 7))</v>
      </c>
      <c r="AH134" s="3">
        <f t="shared" si="19"/>
        <v>128</v>
      </c>
      <c r="AI134" s="3" t="str">
        <v>Staff Role: Chief Animation Director (OP, ep 1)</v>
      </c>
    </row>
    <row r="135" spans="1:35" x14ac:dyDescent="0.3">
      <c r="A135" t="s">
        <v>618</v>
      </c>
      <c r="B135" s="5">
        <v>73.75</v>
      </c>
      <c r="C135" s="9">
        <v>8</v>
      </c>
      <c r="D135" s="6">
        <v>1.1243851018973999E-3</v>
      </c>
      <c r="E135" s="7">
        <v>8.2923401264933194E-2</v>
      </c>
      <c r="G135" s="3" t="str">
        <f t="shared" si="20"/>
        <v/>
      </c>
      <c r="H135" s="3"/>
      <c r="J135" s="3">
        <f t="shared" si="21"/>
        <v>129</v>
      </c>
      <c r="K135" s="3" t="str">
        <v>Tag: Memory Manipulation</v>
      </c>
      <c r="M135" s="3">
        <f t="shared" si="22"/>
        <v>129</v>
      </c>
      <c r="N135" s="3" t="str">
        <v>Studio: Kadokawa Pictures Japan</v>
      </c>
      <c r="P135" s="3" t="str">
        <f t="shared" si="23"/>
        <v/>
      </c>
      <c r="Q135" s="3"/>
      <c r="S135" s="3" t="str">
        <f t="shared" si="24"/>
        <v/>
      </c>
      <c r="T135" s="3"/>
      <c r="V135" s="3" t="str">
        <f t="shared" si="25"/>
        <v/>
      </c>
      <c r="W135" s="3"/>
      <c r="Y135" s="3" t="str">
        <f t="shared" si="26"/>
        <v/>
      </c>
      <c r="Z135" s="3"/>
      <c r="AB135" s="3" t="str">
        <f t="shared" si="27"/>
        <v/>
      </c>
      <c r="AC135" s="3"/>
      <c r="AE135" s="3">
        <f t="shared" si="28"/>
        <v>129</v>
      </c>
      <c r="AF135" s="3" t="str">
        <v>Staff: DOES  (Theme Song Performance (ED6, OP5))</v>
      </c>
      <c r="AH135" s="3">
        <f t="shared" si="19"/>
        <v>129</v>
      </c>
      <c r="AI135" s="3" t="str">
        <v>Staff Role: Animation Director (OP, ep 1)</v>
      </c>
    </row>
    <row r="136" spans="1:35" x14ac:dyDescent="0.3">
      <c r="A136" t="s">
        <v>293</v>
      </c>
      <c r="B136" s="5">
        <v>72.5</v>
      </c>
      <c r="C136" s="9">
        <v>8</v>
      </c>
      <c r="D136" s="6">
        <v>1.1243851018973999E-3</v>
      </c>
      <c r="E136" s="7">
        <v>8.1517919887561394E-2</v>
      </c>
      <c r="G136" s="3" t="str">
        <f t="shared" si="20"/>
        <v/>
      </c>
      <c r="H136" s="3"/>
      <c r="J136" s="3">
        <f t="shared" si="21"/>
        <v>130</v>
      </c>
      <c r="K136" s="3" t="str">
        <v>Tag: Cosmic Horror</v>
      </c>
      <c r="M136" s="3">
        <f t="shared" si="22"/>
        <v>130</v>
      </c>
      <c r="N136" s="3" t="str">
        <v>Studio: NYAV Post</v>
      </c>
      <c r="P136" s="3" t="str">
        <f t="shared" si="23"/>
        <v/>
      </c>
      <c r="Q136" s="3"/>
      <c r="S136" s="3" t="str">
        <f t="shared" si="24"/>
        <v/>
      </c>
      <c r="T136" s="3"/>
      <c r="V136" s="3" t="str">
        <f t="shared" si="25"/>
        <v/>
      </c>
      <c r="W136" s="3"/>
      <c r="Y136" s="3" t="str">
        <f t="shared" si="26"/>
        <v/>
      </c>
      <c r="Z136" s="3"/>
      <c r="AB136" s="3" t="str">
        <f t="shared" si="27"/>
        <v/>
      </c>
      <c r="AC136" s="3"/>
      <c r="AE136" s="3">
        <f t="shared" si="28"/>
        <v>130</v>
      </c>
      <c r="AF136" s="3" t="str">
        <v>Staff: DOES  (Theme Song Arrangement (OP5, ED6))</v>
      </c>
      <c r="AH136" s="3">
        <f t="shared" ref="AH136:AH199" si="29">IF(NOT(ISBLANK(AI136)),IF(NOT(ISNUMBER(AH135)),1,AH135+1),"")</f>
        <v>130</v>
      </c>
      <c r="AI136" s="3" t="str">
        <v>Staff Role: Episode Director (OP)</v>
      </c>
    </row>
    <row r="137" spans="1:35" x14ac:dyDescent="0.3">
      <c r="A137" t="s">
        <v>85</v>
      </c>
      <c r="B137" s="5">
        <v>81.428571428571402</v>
      </c>
      <c r="C137" s="9">
        <v>7</v>
      </c>
      <c r="D137" s="6">
        <v>9.8383696416022397E-4</v>
      </c>
      <c r="E137" s="7">
        <v>8.0112438510189704E-2</v>
      </c>
      <c r="G137" s="3" t="str">
        <f t="shared" si="20"/>
        <v/>
      </c>
      <c r="H137" s="3"/>
      <c r="J137" s="3">
        <f t="shared" si="21"/>
        <v>131</v>
      </c>
      <c r="K137" s="3" t="str">
        <v>Tag: Mopeds</v>
      </c>
      <c r="M137" s="3">
        <f t="shared" si="22"/>
        <v>131</v>
      </c>
      <c r="N137" s="3" t="str">
        <v>Studio: Selecta Visión</v>
      </c>
      <c r="P137" s="3" t="str">
        <f t="shared" si="23"/>
        <v/>
      </c>
      <c r="Q137" s="3"/>
      <c r="S137" s="3" t="str">
        <f t="shared" si="24"/>
        <v/>
      </c>
      <c r="T137" s="3"/>
      <c r="V137" s="3" t="str">
        <f t="shared" si="25"/>
        <v/>
      </c>
      <c r="W137" s="3"/>
      <c r="Y137" s="3" t="str">
        <f t="shared" si="26"/>
        <v/>
      </c>
      <c r="Z137" s="3"/>
      <c r="AB137" s="3" t="str">
        <f t="shared" si="27"/>
        <v/>
      </c>
      <c r="AC137" s="3"/>
      <c r="AE137" s="3">
        <f t="shared" si="28"/>
        <v>131</v>
      </c>
      <c r="AF137" s="3" t="str">
        <v>Staff:  AZU (Theme Song Performance (ED3))</v>
      </c>
      <c r="AH137" s="3">
        <f t="shared" si="29"/>
        <v>131</v>
      </c>
      <c r="AI137" s="3" t="str">
        <v>Staff Role: 2nd Key Animation (eps 5-12)</v>
      </c>
    </row>
    <row r="138" spans="1:35" x14ac:dyDescent="0.3">
      <c r="A138" t="s">
        <v>64</v>
      </c>
      <c r="B138" s="5">
        <v>80</v>
      </c>
      <c r="C138" s="9">
        <v>7</v>
      </c>
      <c r="D138" s="6">
        <v>9.8383696416022397E-4</v>
      </c>
      <c r="E138" s="7">
        <v>7.8706957132817904E-2</v>
      </c>
      <c r="G138" s="3" t="str">
        <f t="shared" si="20"/>
        <v/>
      </c>
      <c r="H138" s="3"/>
      <c r="J138" s="3">
        <f t="shared" si="21"/>
        <v>132</v>
      </c>
      <c r="K138" s="3" t="str">
        <v>Tag: Chimera</v>
      </c>
      <c r="M138" s="3">
        <f t="shared" si="22"/>
        <v>132</v>
      </c>
      <c r="N138" s="3" t="str">
        <v>Studio: Forecast Communications</v>
      </c>
      <c r="P138" s="3" t="str">
        <f t="shared" si="23"/>
        <v/>
      </c>
      <c r="Q138" s="3"/>
      <c r="S138" s="3" t="str">
        <f t="shared" si="24"/>
        <v/>
      </c>
      <c r="T138" s="3"/>
      <c r="V138" s="3" t="str">
        <f t="shared" si="25"/>
        <v/>
      </c>
      <c r="W138" s="3"/>
      <c r="Y138" s="3" t="str">
        <f t="shared" si="26"/>
        <v/>
      </c>
      <c r="Z138" s="3"/>
      <c r="AB138" s="3" t="str">
        <f t="shared" si="27"/>
        <v/>
      </c>
      <c r="AC138" s="3"/>
      <c r="AE138" s="3">
        <f t="shared" si="28"/>
        <v>132</v>
      </c>
      <c r="AF138" s="3" t="str">
        <v>Staff: Chiaki Kuriyama (Theme Song Performance (R3))</v>
      </c>
      <c r="AH138" s="3">
        <f t="shared" si="29"/>
        <v>132</v>
      </c>
      <c r="AI138" s="3" t="str">
        <v>Staff Role: Theme Song Composition (ED2)</v>
      </c>
    </row>
    <row r="139" spans="1:35" x14ac:dyDescent="0.3">
      <c r="A139" t="s">
        <v>96</v>
      </c>
      <c r="B139" s="5">
        <v>80</v>
      </c>
      <c r="C139" s="9">
        <v>7</v>
      </c>
      <c r="D139" s="6">
        <v>9.8383696416022397E-4</v>
      </c>
      <c r="E139" s="7">
        <v>7.8706957132817904E-2</v>
      </c>
      <c r="G139" s="3" t="str">
        <f t="shared" si="20"/>
        <v/>
      </c>
      <c r="H139" s="3"/>
      <c r="J139" s="3">
        <f t="shared" si="21"/>
        <v>133</v>
      </c>
      <c r="K139" s="3" t="str">
        <v>Tag: Vore</v>
      </c>
      <c r="M139" s="3">
        <f t="shared" si="22"/>
        <v>133</v>
      </c>
      <c r="N139" s="3" t="str">
        <v>Studio: Twin Engine</v>
      </c>
      <c r="P139" s="3" t="str">
        <f t="shared" si="23"/>
        <v/>
      </c>
      <c r="Q139" s="3"/>
      <c r="S139" s="3" t="str">
        <f t="shared" si="24"/>
        <v/>
      </c>
      <c r="T139" s="3"/>
      <c r="V139" s="3" t="str">
        <f t="shared" si="25"/>
        <v/>
      </c>
      <c r="W139" s="3"/>
      <c r="Y139" s="3" t="str">
        <f t="shared" si="26"/>
        <v/>
      </c>
      <c r="Z139" s="3"/>
      <c r="AB139" s="3" t="str">
        <f t="shared" si="27"/>
        <v/>
      </c>
      <c r="AC139" s="3"/>
      <c r="AE139" s="3">
        <f t="shared" si="28"/>
        <v>133</v>
      </c>
      <c r="AF139" s="3" t="str">
        <v>Staff:  Base Ball Bear (Theme Song Performance (OP7))</v>
      </c>
      <c r="AH139" s="3">
        <f t="shared" si="29"/>
        <v>133</v>
      </c>
      <c r="AI139" s="3" t="str">
        <v>Staff Role: ADR Prep (English)</v>
      </c>
    </row>
    <row r="140" spans="1:35" x14ac:dyDescent="0.3">
      <c r="A140" t="s">
        <v>95</v>
      </c>
      <c r="B140" s="5">
        <v>78.571428571428498</v>
      </c>
      <c r="C140" s="9">
        <v>7</v>
      </c>
      <c r="D140" s="6">
        <v>9.8383696416022397E-4</v>
      </c>
      <c r="E140" s="7">
        <v>7.73014757554462E-2</v>
      </c>
      <c r="G140" s="3" t="str">
        <f t="shared" si="20"/>
        <v/>
      </c>
      <c r="H140" s="3"/>
      <c r="J140" s="3">
        <f t="shared" si="21"/>
        <v>134</v>
      </c>
      <c r="K140" s="3" t="str">
        <v>Tag: Boxing</v>
      </c>
      <c r="M140" s="3">
        <f t="shared" si="22"/>
        <v>134</v>
      </c>
      <c r="N140" s="3" t="str">
        <v>Studio: Artland</v>
      </c>
      <c r="P140" s="3" t="str">
        <f t="shared" si="23"/>
        <v/>
      </c>
      <c r="Q140" s="3"/>
      <c r="S140" s="3" t="str">
        <f t="shared" si="24"/>
        <v/>
      </c>
      <c r="T140" s="3"/>
      <c r="V140" s="3" t="str">
        <f t="shared" si="25"/>
        <v/>
      </c>
      <c r="W140" s="3"/>
      <c r="Y140" s="3" t="str">
        <f t="shared" si="26"/>
        <v/>
      </c>
      <c r="Z140" s="3"/>
      <c r="AB140" s="3" t="str">
        <f t="shared" si="27"/>
        <v/>
      </c>
      <c r="AC140" s="3"/>
      <c r="AE140" s="3">
        <f t="shared" si="28"/>
        <v>134</v>
      </c>
      <c r="AF140" s="3" t="str">
        <v>Staff:  Piko (Theme Song Performance)</v>
      </c>
      <c r="AH140" s="3">
        <f t="shared" si="29"/>
        <v>134</v>
      </c>
      <c r="AI140" s="3" t="str">
        <v>Staff Role: Mix Engineer (English)</v>
      </c>
    </row>
    <row r="141" spans="1:35" x14ac:dyDescent="0.3">
      <c r="A141" t="s">
        <v>173</v>
      </c>
      <c r="B141" s="5">
        <v>77.142857142857096</v>
      </c>
      <c r="C141" s="9">
        <v>7</v>
      </c>
      <c r="D141" s="6">
        <v>9.8383696416022397E-4</v>
      </c>
      <c r="E141" s="7">
        <v>7.58959943780744E-2</v>
      </c>
      <c r="G141" s="3" t="str">
        <f t="shared" si="20"/>
        <v/>
      </c>
      <c r="H141" s="3"/>
      <c r="J141" s="3">
        <f t="shared" si="21"/>
        <v>135</v>
      </c>
      <c r="K141" s="3" t="str">
        <v>Tag: Terrorism</v>
      </c>
      <c r="M141" s="3">
        <f t="shared" si="22"/>
        <v>135</v>
      </c>
      <c r="N141" s="3" t="str">
        <v>Studio: Cygames</v>
      </c>
      <c r="P141" s="3" t="str">
        <f t="shared" si="23"/>
        <v/>
      </c>
      <c r="Q141" s="3"/>
      <c r="S141" s="3" t="str">
        <f t="shared" si="24"/>
        <v/>
      </c>
      <c r="T141" s="3"/>
      <c r="V141" s="3" t="str">
        <f t="shared" si="25"/>
        <v/>
      </c>
      <c r="W141" s="3"/>
      <c r="Y141" s="3" t="str">
        <f t="shared" si="26"/>
        <v/>
      </c>
      <c r="Z141" s="3"/>
      <c r="AB141" s="3" t="str">
        <f t="shared" si="27"/>
        <v/>
      </c>
      <c r="AC141" s="3"/>
      <c r="AE141" s="3">
        <f t="shared" si="28"/>
        <v>135</v>
      </c>
      <c r="AF141" s="3" t="str">
        <v>Staff: Afro (Original Creator)</v>
      </c>
      <c r="AH141" s="3">
        <f t="shared" si="29"/>
        <v>135</v>
      </c>
      <c r="AI141" s="3" t="str">
        <v>Staff Role: In-Between Animation</v>
      </c>
    </row>
    <row r="142" spans="1:35" x14ac:dyDescent="0.3">
      <c r="A142" t="s">
        <v>112</v>
      </c>
      <c r="B142" s="5">
        <v>75.714285714285694</v>
      </c>
      <c r="C142" s="9">
        <v>7</v>
      </c>
      <c r="D142" s="6">
        <v>9.8383696416022397E-4</v>
      </c>
      <c r="E142" s="7">
        <v>7.4490513000702696E-2</v>
      </c>
      <c r="G142" s="3" t="str">
        <f t="shared" si="20"/>
        <v/>
      </c>
      <c r="H142" s="3"/>
      <c r="J142" s="3">
        <f t="shared" si="21"/>
        <v>136</v>
      </c>
      <c r="K142" s="3" t="str">
        <v>Tag: Cycling</v>
      </c>
      <c r="M142" s="3">
        <f t="shared" si="22"/>
        <v>136</v>
      </c>
      <c r="N142" s="3" t="str">
        <v>Studio: Daume</v>
      </c>
      <c r="P142" s="3" t="str">
        <f t="shared" si="23"/>
        <v/>
      </c>
      <c r="Q142" s="3"/>
      <c r="S142" s="3" t="str">
        <f t="shared" si="24"/>
        <v/>
      </c>
      <c r="T142" s="3"/>
      <c r="V142" s="3" t="str">
        <f t="shared" si="25"/>
        <v/>
      </c>
      <c r="W142" s="3"/>
      <c r="Y142" s="3" t="str">
        <f t="shared" si="26"/>
        <v/>
      </c>
      <c r="Z142" s="3"/>
      <c r="AB142" s="3" t="str">
        <f t="shared" si="27"/>
        <v/>
      </c>
      <c r="AC142" s="3"/>
      <c r="AE142" s="3">
        <f t="shared" si="28"/>
        <v>136</v>
      </c>
      <c r="AF142" s="3" t="str">
        <v>Staff: Mutsumi Sasaki (Character Design)</v>
      </c>
      <c r="AH142" s="3">
        <f t="shared" si="29"/>
        <v>136</v>
      </c>
      <c r="AI142" s="3" t="str">
        <v>Staff Role: Theme Song Lyrics (ED1)</v>
      </c>
    </row>
    <row r="143" spans="1:35" x14ac:dyDescent="0.3">
      <c r="A143" t="s">
        <v>185</v>
      </c>
      <c r="B143" s="5">
        <v>75.714285714285694</v>
      </c>
      <c r="C143" s="9">
        <v>7</v>
      </c>
      <c r="D143" s="6">
        <v>9.8383696416022397E-4</v>
      </c>
      <c r="E143" s="7">
        <v>7.4490513000702696E-2</v>
      </c>
      <c r="G143" s="3" t="str">
        <f t="shared" si="20"/>
        <v/>
      </c>
      <c r="H143" s="3"/>
      <c r="J143" s="3">
        <f t="shared" si="21"/>
        <v>137</v>
      </c>
      <c r="K143" s="3" t="str">
        <v>Tag: Found Family</v>
      </c>
      <c r="M143" s="3">
        <f t="shared" si="22"/>
        <v>137</v>
      </c>
      <c r="N143" s="3" t="str">
        <v>Studio: Starchild Records</v>
      </c>
      <c r="P143" s="3" t="str">
        <f t="shared" si="23"/>
        <v/>
      </c>
      <c r="Q143" s="3"/>
      <c r="S143" s="3" t="str">
        <f t="shared" si="24"/>
        <v/>
      </c>
      <c r="T143" s="3"/>
      <c r="V143" s="3" t="str">
        <f t="shared" si="25"/>
        <v/>
      </c>
      <c r="W143" s="3"/>
      <c r="Y143" s="3" t="str">
        <f t="shared" si="26"/>
        <v/>
      </c>
      <c r="Z143" s="3"/>
      <c r="AB143" s="3" t="str">
        <f t="shared" si="27"/>
        <v/>
      </c>
      <c r="AC143" s="3"/>
      <c r="AE143" s="3">
        <f t="shared" si="28"/>
        <v>137</v>
      </c>
      <c r="AF143" s="3" t="str">
        <v>Staff: Yoshiaki Kyougoku (Director)</v>
      </c>
      <c r="AH143" s="3">
        <f t="shared" si="29"/>
        <v>137</v>
      </c>
      <c r="AI143" s="3" t="str">
        <v>Staff Role: Theme Song Performance (ED: ep 12)</v>
      </c>
    </row>
    <row r="144" spans="1:35" x14ac:dyDescent="0.3">
      <c r="A144" t="s">
        <v>541</v>
      </c>
      <c r="B144" s="5">
        <v>74.285714285714207</v>
      </c>
      <c r="C144" s="9">
        <v>7</v>
      </c>
      <c r="D144" s="6">
        <v>9.8383696416022397E-4</v>
      </c>
      <c r="E144" s="7">
        <v>7.3085031623330896E-2</v>
      </c>
      <c r="G144" s="3" t="str">
        <f t="shared" si="20"/>
        <v/>
      </c>
      <c r="H144" s="3"/>
      <c r="J144" s="3">
        <f t="shared" si="21"/>
        <v>138</v>
      </c>
      <c r="K144" s="3" t="str">
        <v>Tag: Shogi</v>
      </c>
      <c r="M144" s="3">
        <f t="shared" si="22"/>
        <v>138</v>
      </c>
      <c r="N144" s="3" t="str">
        <v>Studio: Eye Move</v>
      </c>
      <c r="P144" s="3" t="str">
        <f t="shared" si="23"/>
        <v/>
      </c>
      <c r="Q144" s="3"/>
      <c r="S144" s="3" t="str">
        <f t="shared" si="24"/>
        <v/>
      </c>
      <c r="T144" s="3"/>
      <c r="V144" s="3" t="str">
        <f t="shared" si="25"/>
        <v/>
      </c>
      <c r="W144" s="3"/>
      <c r="Y144" s="3" t="str">
        <f t="shared" si="26"/>
        <v/>
      </c>
      <c r="Z144" s="3"/>
      <c r="AB144" s="3" t="str">
        <f t="shared" si="27"/>
        <v/>
      </c>
      <c r="AC144" s="3"/>
      <c r="AE144" s="3">
        <f t="shared" si="28"/>
        <v>138</v>
      </c>
      <c r="AF144" s="3" t="str">
        <v>Staff: Jin Tanaka (Series Composition)</v>
      </c>
      <c r="AH144" s="3">
        <f t="shared" si="29"/>
        <v>138</v>
      </c>
      <c r="AI144" s="3" t="str">
        <v>Staff Role: Insert Song Performance (ep 5)</v>
      </c>
    </row>
    <row r="145" spans="1:35" x14ac:dyDescent="0.3">
      <c r="A145" t="str">
        <f>HYPERLINK("https://anilist.co/staff/103074","Staff: Jin Aketagawa (Sound Director)")</f>
        <v>Staff: Jin Aketagawa (Sound Director)</v>
      </c>
      <c r="B145" s="5">
        <v>74.285714285714207</v>
      </c>
      <c r="C145" s="9">
        <v>7</v>
      </c>
      <c r="D145" s="6">
        <v>9.8383696416022397E-4</v>
      </c>
      <c r="E145" s="7">
        <v>7.3085031623330896E-2</v>
      </c>
      <c r="G145" s="3" t="str">
        <f t="shared" si="20"/>
        <v/>
      </c>
      <c r="H145" s="3"/>
      <c r="J145" s="3">
        <f t="shared" si="21"/>
        <v>139</v>
      </c>
      <c r="K145" s="3" t="str">
        <v>Tag: Achronological Order</v>
      </c>
      <c r="M145" s="3">
        <f t="shared" si="22"/>
        <v>139</v>
      </c>
      <c r="N145" s="3" t="str">
        <v>Studio: Sunny Side Up</v>
      </c>
      <c r="P145" s="3" t="str">
        <f t="shared" si="23"/>
        <v/>
      </c>
      <c r="Q145" s="3"/>
      <c r="S145" s="3" t="str">
        <f t="shared" si="24"/>
        <v/>
      </c>
      <c r="T145" s="3"/>
      <c r="V145" s="3" t="str">
        <f t="shared" si="25"/>
        <v/>
      </c>
      <c r="W145" s="3"/>
      <c r="Y145" s="3" t="str">
        <f t="shared" si="26"/>
        <v/>
      </c>
      <c r="Z145" s="3"/>
      <c r="AB145" s="3" t="str">
        <f t="shared" si="27"/>
        <v/>
      </c>
      <c r="AC145" s="3"/>
      <c r="AE145" s="3">
        <f t="shared" si="28"/>
        <v>139</v>
      </c>
      <c r="AF145" s="3" t="str">
        <v>Staff: Asaka  (Theme Song Performance (OP))</v>
      </c>
      <c r="AH145" s="3">
        <f t="shared" si="29"/>
        <v>139</v>
      </c>
      <c r="AI145" s="3" t="str">
        <v>Staff Role: Theme Song Performance (OP, ED1-ED3)</v>
      </c>
    </row>
    <row r="146" spans="1:35" x14ac:dyDescent="0.3">
      <c r="A146" t="s">
        <v>40</v>
      </c>
      <c r="B146" s="5">
        <v>72.857142857142804</v>
      </c>
      <c r="C146" s="9">
        <v>7</v>
      </c>
      <c r="D146" s="6">
        <v>9.8383696416022397E-4</v>
      </c>
      <c r="E146" s="7">
        <v>7.1679550245959206E-2</v>
      </c>
      <c r="G146" s="3" t="str">
        <f t="shared" si="20"/>
        <v/>
      </c>
      <c r="H146" s="3"/>
      <c r="J146" s="3">
        <f t="shared" si="21"/>
        <v>140</v>
      </c>
      <c r="K146" s="3" t="str">
        <v>Tag: Noir</v>
      </c>
      <c r="M146" s="3">
        <f t="shared" si="22"/>
        <v>140</v>
      </c>
      <c r="N146" s="3" t="str">
        <v>Studio: OLM</v>
      </c>
      <c r="P146" s="3" t="str">
        <f t="shared" si="23"/>
        <v/>
      </c>
      <c r="Q146" s="3"/>
      <c r="S146" s="3" t="str">
        <f t="shared" si="24"/>
        <v/>
      </c>
      <c r="T146" s="3"/>
      <c r="V146" s="3" t="str">
        <f t="shared" si="25"/>
        <v/>
      </c>
      <c r="W146" s="3"/>
      <c r="Y146" s="3" t="str">
        <f t="shared" si="26"/>
        <v/>
      </c>
      <c r="Z146" s="3"/>
      <c r="AB146" s="3" t="str">
        <f t="shared" si="27"/>
        <v/>
      </c>
      <c r="AC146" s="3"/>
      <c r="AE146" s="3">
        <f t="shared" si="28"/>
        <v>140</v>
      </c>
      <c r="AF146" s="3" t="str">
        <v>Staff: Kyouhei Yamamoto (Key Animation (eps 2, 7))</v>
      </c>
      <c r="AH146" s="3">
        <f t="shared" si="29"/>
        <v>140</v>
      </c>
      <c r="AI146" s="3" t="str">
        <v>Staff Role: Animation Director (OP)</v>
      </c>
    </row>
    <row r="147" spans="1:35" x14ac:dyDescent="0.3">
      <c r="A147" t="s">
        <v>19</v>
      </c>
      <c r="B147" s="5">
        <v>71.428571428571402</v>
      </c>
      <c r="C147" s="9">
        <v>7</v>
      </c>
      <c r="D147" s="6">
        <v>9.8383696416022397E-4</v>
      </c>
      <c r="E147" s="7">
        <v>7.0274068868587405E-2</v>
      </c>
      <c r="G147" s="3" t="str">
        <f t="shared" si="20"/>
        <v/>
      </c>
      <c r="H147" s="3"/>
      <c r="J147" s="3">
        <f t="shared" si="21"/>
        <v>141</v>
      </c>
      <c r="K147" s="3" t="str">
        <v>Tag: Calligraphy</v>
      </c>
      <c r="M147" s="3">
        <f t="shared" si="22"/>
        <v>141</v>
      </c>
      <c r="N147" s="3" t="str">
        <v>Studio: P.I.C.S.</v>
      </c>
      <c r="P147" s="3" t="str">
        <f t="shared" si="23"/>
        <v/>
      </c>
      <c r="Q147" s="3"/>
      <c r="S147" s="3" t="str">
        <f t="shared" si="24"/>
        <v/>
      </c>
      <c r="T147" s="3"/>
      <c r="V147" s="3" t="str">
        <f t="shared" si="25"/>
        <v/>
      </c>
      <c r="W147" s="3"/>
      <c r="Y147" s="3" t="str">
        <f t="shared" si="26"/>
        <v/>
      </c>
      <c r="Z147" s="3"/>
      <c r="AB147" s="3" t="str">
        <f t="shared" si="27"/>
        <v/>
      </c>
      <c r="AC147" s="3"/>
      <c r="AE147" s="3">
        <f t="shared" si="28"/>
        <v>141</v>
      </c>
      <c r="AF147" s="3" t="str">
        <v>Staff: Eri Sasaki (Theme Song Performance (ED))</v>
      </c>
      <c r="AH147" s="3">
        <f t="shared" si="29"/>
        <v>141</v>
      </c>
      <c r="AI147" s="3" t="str">
        <v>Staff Role: Episode Director</v>
      </c>
    </row>
    <row r="148" spans="1:35" x14ac:dyDescent="0.3">
      <c r="A148" t="s">
        <v>48</v>
      </c>
      <c r="B148" s="5">
        <v>70</v>
      </c>
      <c r="C148" s="9">
        <v>7</v>
      </c>
      <c r="D148" s="6">
        <v>9.8383696416022397E-4</v>
      </c>
      <c r="E148" s="7">
        <v>6.8868587491215702E-2</v>
      </c>
      <c r="G148" s="3" t="str">
        <f t="shared" si="20"/>
        <v/>
      </c>
      <c r="H148" s="3"/>
      <c r="J148" s="3">
        <f t="shared" si="21"/>
        <v>142</v>
      </c>
      <c r="K148" s="3" t="str">
        <v>Tag: Cultivation</v>
      </c>
      <c r="M148" s="3">
        <f t="shared" si="22"/>
        <v>142</v>
      </c>
      <c r="N148" s="3" t="str">
        <v>Studio: Pony Canyon Enterprise</v>
      </c>
      <c r="P148" s="3" t="str">
        <f t="shared" si="23"/>
        <v/>
      </c>
      <c r="Q148" s="3"/>
      <c r="S148" s="3" t="str">
        <f t="shared" si="24"/>
        <v/>
      </c>
      <c r="T148" s="3"/>
      <c r="V148" s="3" t="str">
        <f t="shared" si="25"/>
        <v/>
      </c>
      <c r="W148" s="3"/>
      <c r="Y148" s="3" t="str">
        <f t="shared" si="26"/>
        <v/>
      </c>
      <c r="Z148" s="3"/>
      <c r="AB148" s="3" t="str">
        <f t="shared" si="27"/>
        <v/>
      </c>
      <c r="AC148" s="3"/>
      <c r="AE148" s="3">
        <f t="shared" si="28"/>
        <v>142</v>
      </c>
      <c r="AF148" s="3" t="str">
        <v>Staff: Yoshimi Umino (Art Director)</v>
      </c>
      <c r="AH148" s="3">
        <f t="shared" si="29"/>
        <v>142</v>
      </c>
      <c r="AI148" s="3" t="str">
        <v>Staff Role: Key Animation (ep 2)</v>
      </c>
    </row>
    <row r="149" spans="1:35" x14ac:dyDescent="0.3">
      <c r="A149" t="s">
        <v>94</v>
      </c>
      <c r="B149" s="5">
        <v>81.6666666666666</v>
      </c>
      <c r="C149" s="9">
        <v>6</v>
      </c>
      <c r="D149" s="6">
        <v>8.4328882642304998E-4</v>
      </c>
      <c r="E149" s="7">
        <v>6.8868587491215702E-2</v>
      </c>
      <c r="G149" s="3" t="str">
        <f t="shared" si="20"/>
        <v/>
      </c>
      <c r="H149" s="3"/>
      <c r="J149" s="3">
        <f t="shared" si="21"/>
        <v>143</v>
      </c>
      <c r="K149" s="3" t="str">
        <v>Tag: Office Lady</v>
      </c>
      <c r="M149" s="3">
        <f t="shared" si="22"/>
        <v>143</v>
      </c>
      <c r="N149" s="3" t="str">
        <v>Studio: Yoshimoto Kogyo</v>
      </c>
      <c r="P149" s="3" t="str">
        <f t="shared" si="23"/>
        <v/>
      </c>
      <c r="Q149" s="3"/>
      <c r="S149" s="3" t="str">
        <f t="shared" si="24"/>
        <v/>
      </c>
      <c r="T149" s="3"/>
      <c r="V149" s="3" t="str">
        <f t="shared" si="25"/>
        <v/>
      </c>
      <c r="W149" s="3"/>
      <c r="Y149" s="3" t="str">
        <f t="shared" si="26"/>
        <v/>
      </c>
      <c r="Z149" s="3"/>
      <c r="AB149" s="3" t="str">
        <f t="shared" si="27"/>
        <v/>
      </c>
      <c r="AC149" s="3"/>
      <c r="AE149" s="3">
        <f t="shared" si="28"/>
        <v>143</v>
      </c>
      <c r="AF149" s="3" t="str">
        <v>Staff: Taeko Mizuno (Color Design)</v>
      </c>
      <c r="AH149" s="3">
        <f t="shared" si="29"/>
        <v>143</v>
      </c>
      <c r="AI149" s="3" t="str">
        <v>Staff Role: Monster Design</v>
      </c>
    </row>
    <row r="150" spans="1:35" x14ac:dyDescent="0.3">
      <c r="A150" t="s">
        <v>495</v>
      </c>
      <c r="B150" s="5">
        <v>70</v>
      </c>
      <c r="C150" s="9">
        <v>7</v>
      </c>
      <c r="D150" s="6">
        <v>9.8383696416022397E-4</v>
      </c>
      <c r="E150" s="7">
        <v>6.8868587491215702E-2</v>
      </c>
      <c r="G150" s="3" t="str">
        <f t="shared" si="20"/>
        <v/>
      </c>
      <c r="H150" s="3"/>
      <c r="J150" s="3">
        <f t="shared" si="21"/>
        <v>144</v>
      </c>
      <c r="K150" s="3" t="str">
        <v>Tag: Battle Royale</v>
      </c>
      <c r="M150" s="3">
        <f t="shared" si="22"/>
        <v>144</v>
      </c>
      <c r="N150" s="3" t="str">
        <v>Studio: Seven Arcs</v>
      </c>
      <c r="P150" s="3" t="str">
        <f t="shared" si="23"/>
        <v/>
      </c>
      <c r="Q150" s="3"/>
      <c r="S150" s="3" t="str">
        <f t="shared" si="24"/>
        <v/>
      </c>
      <c r="T150" s="3"/>
      <c r="V150" s="3" t="str">
        <f t="shared" si="25"/>
        <v/>
      </c>
      <c r="W150" s="3"/>
      <c r="Y150" s="3" t="str">
        <f t="shared" si="26"/>
        <v/>
      </c>
      <c r="Z150" s="3"/>
      <c r="AB150" s="3" t="str">
        <f t="shared" si="27"/>
        <v/>
      </c>
      <c r="AC150" s="3"/>
      <c r="AE150" s="3">
        <f t="shared" si="28"/>
        <v>144</v>
      </c>
      <c r="AF150" s="3" t="str">
        <v>Staff: Hideyuki Nanba (Planning)</v>
      </c>
      <c r="AH150" s="3">
        <f t="shared" si="29"/>
        <v>144</v>
      </c>
      <c r="AI150" s="3" t="str">
        <v>Staff Role: Series Director</v>
      </c>
    </row>
    <row r="151" spans="1:35" x14ac:dyDescent="0.3">
      <c r="A151" t="s">
        <v>547</v>
      </c>
      <c r="B151" s="5">
        <v>80</v>
      </c>
      <c r="C151" s="9">
        <v>6</v>
      </c>
      <c r="D151" s="6">
        <v>8.4328882642304998E-4</v>
      </c>
      <c r="E151" s="7">
        <v>6.7463106113843999E-2</v>
      </c>
      <c r="G151" s="3" t="str">
        <f t="shared" ref="G151:G214" si="30">IF(NOT(ISBLANK(H151)),IF(NOT(ISNUMBER(G150)),1,G150+1),"")</f>
        <v/>
      </c>
      <c r="H151" s="3"/>
      <c r="J151" s="3">
        <f t="shared" ref="J151:J214" si="31">IF(NOT(ISBLANK(K151)),IF(NOT(ISNUMBER(J150)),1,J150+1),"")</f>
        <v>145</v>
      </c>
      <c r="K151" s="3" t="str">
        <v>Tag: Language Barrier</v>
      </c>
      <c r="M151" s="3">
        <f t="shared" ref="M151:M214" si="32">IF(NOT(ISBLANK(N151)),IF(NOT(ISNUMBER(M150)),1,M150+1),"")</f>
        <v>145</v>
      </c>
      <c r="N151" s="3" t="str">
        <v>Studio: Hanabee Entertainment</v>
      </c>
      <c r="P151" s="3" t="str">
        <f t="shared" ref="P151:P214" si="33">IF(NOT(ISBLANK(Q151)),IF(NOT(ISNUMBER(P150)),1,P150+1),"")</f>
        <v/>
      </c>
      <c r="Q151" s="3"/>
      <c r="S151" s="3" t="str">
        <f t="shared" ref="S151:S214" si="34">IF(NOT(ISBLANK(T151)),IF(NOT(ISNUMBER(S150)),1,S150+1),"")</f>
        <v/>
      </c>
      <c r="T151" s="3"/>
      <c r="V151" s="3" t="str">
        <f t="shared" ref="V151:V214" si="35">IF(NOT(ISBLANK(W151)),IF(NOT(ISNUMBER(V150)),1,V150+1),"")</f>
        <v/>
      </c>
      <c r="W151" s="3"/>
      <c r="Y151" s="3" t="str">
        <f t="shared" ref="Y151:Y214" si="36">IF(NOT(ISBLANK(Z151)),IF(NOT(ISNUMBER(Y150)),1,Y150+1),"")</f>
        <v/>
      </c>
      <c r="Z151" s="3"/>
      <c r="AB151" s="3" t="str">
        <f t="shared" ref="AB151:AB214" si="37">IF(NOT(ISBLANK(AC151)),IF(NOT(ISNUMBER(AB150)),1,AB150+1),"")</f>
        <v/>
      </c>
      <c r="AC151" s="3"/>
      <c r="AE151" s="3">
        <f t="shared" ref="AE151:AE214" si="38">IF(NOT(ISBLANK(AF151)),IF(NOT(ISNUMBER(AE150)),1,AE150+1),"")</f>
        <v>145</v>
      </c>
      <c r="AF151" s="3" t="str">
        <v>Staff: Hideyuki Saida (Planning)</v>
      </c>
      <c r="AH151" s="3">
        <f t="shared" si="29"/>
        <v>145</v>
      </c>
      <c r="AI151" s="3" t="str">
        <v>Staff Role: Insert Song Performance (ep 10)</v>
      </c>
    </row>
    <row r="152" spans="1:35" x14ac:dyDescent="0.3">
      <c r="A152" t="s">
        <v>122</v>
      </c>
      <c r="B152" s="5">
        <v>68.571428571428498</v>
      </c>
      <c r="C152" s="9">
        <v>7</v>
      </c>
      <c r="D152" s="6">
        <v>9.8383696416022397E-4</v>
      </c>
      <c r="E152" s="7">
        <v>6.7463106113843901E-2</v>
      </c>
      <c r="G152" s="3" t="str">
        <f t="shared" si="30"/>
        <v/>
      </c>
      <c r="H152" s="3"/>
      <c r="J152" s="3">
        <f t="shared" si="31"/>
        <v>146</v>
      </c>
      <c r="K152" s="3" t="str">
        <v>Tag: Archery</v>
      </c>
      <c r="M152" s="3">
        <f t="shared" si="32"/>
        <v>146</v>
      </c>
      <c r="N152" s="3" t="str">
        <v>Studio: Studio Signpost</v>
      </c>
      <c r="P152" s="3" t="str">
        <f t="shared" si="33"/>
        <v/>
      </c>
      <c r="Q152" s="3"/>
      <c r="S152" s="3" t="str">
        <f t="shared" si="34"/>
        <v/>
      </c>
      <c r="T152" s="3"/>
      <c r="V152" s="3" t="str">
        <f t="shared" si="35"/>
        <v/>
      </c>
      <c r="W152" s="3"/>
      <c r="Y152" s="3" t="str">
        <f t="shared" si="36"/>
        <v/>
      </c>
      <c r="Z152" s="3"/>
      <c r="AB152" s="3" t="str">
        <f t="shared" si="37"/>
        <v/>
      </c>
      <c r="AC152" s="3"/>
      <c r="AE152" s="3">
        <f t="shared" si="38"/>
        <v>146</v>
      </c>
      <c r="AF152" s="3" t="str">
        <v>Staff: Hiroaki Tanaka (Director of Photography)</v>
      </c>
      <c r="AH152" s="3">
        <f t="shared" si="29"/>
        <v>146</v>
      </c>
      <c r="AI152" s="3" t="str">
        <v>Staff Role: Original Work Assistance</v>
      </c>
    </row>
    <row r="153" spans="1:35" x14ac:dyDescent="0.3">
      <c r="A153" t="s">
        <v>162</v>
      </c>
      <c r="B153" s="5">
        <v>68.571428571428498</v>
      </c>
      <c r="C153" s="9">
        <v>7</v>
      </c>
      <c r="D153" s="6">
        <v>9.8383696416022397E-4</v>
      </c>
      <c r="E153" s="7">
        <v>6.7463106113843901E-2</v>
      </c>
      <c r="G153" s="3" t="str">
        <f t="shared" si="30"/>
        <v/>
      </c>
      <c r="H153" s="3"/>
      <c r="J153" s="3">
        <f t="shared" si="31"/>
        <v>147</v>
      </c>
      <c r="K153" s="3" t="str">
        <v>Tag: Incest</v>
      </c>
      <c r="M153" s="3">
        <f t="shared" si="32"/>
        <v>147</v>
      </c>
      <c r="N153" s="3" t="str">
        <v>Studio: Nihon Narration Engi Kenkyuujo</v>
      </c>
      <c r="P153" s="3" t="str">
        <f t="shared" si="33"/>
        <v/>
      </c>
      <c r="Q153" s="3"/>
      <c r="S153" s="3" t="str">
        <f t="shared" si="34"/>
        <v/>
      </c>
      <c r="T153" s="3"/>
      <c r="V153" s="3" t="str">
        <f t="shared" si="35"/>
        <v/>
      </c>
      <c r="W153" s="3"/>
      <c r="Y153" s="3" t="str">
        <f t="shared" si="36"/>
        <v/>
      </c>
      <c r="Z153" s="3"/>
      <c r="AB153" s="3" t="str">
        <f t="shared" si="37"/>
        <v/>
      </c>
      <c r="AC153" s="3"/>
      <c r="AE153" s="3">
        <f t="shared" si="38"/>
        <v>147</v>
      </c>
      <c r="AF153" s="3" t="str">
        <v>Staff: Yuuichi Tada (Producer)</v>
      </c>
      <c r="AH153" s="3">
        <f t="shared" si="29"/>
        <v>147</v>
      </c>
      <c r="AI153" s="3" t="str">
        <v>Staff Role: Theme Song Performance  (OP)</v>
      </c>
    </row>
    <row r="154" spans="1:35" x14ac:dyDescent="0.3">
      <c r="A154" t="s">
        <v>166</v>
      </c>
      <c r="B154" s="5">
        <v>78.3333333333333</v>
      </c>
      <c r="C154" s="9">
        <v>6</v>
      </c>
      <c r="D154" s="6">
        <v>8.4328882642304998E-4</v>
      </c>
      <c r="E154" s="7">
        <v>6.6057624736472198E-2</v>
      </c>
      <c r="G154" s="3" t="str">
        <f t="shared" si="30"/>
        <v/>
      </c>
      <c r="H154" s="3"/>
      <c r="J154" s="3">
        <f t="shared" si="31"/>
        <v>148</v>
      </c>
      <c r="K154" s="3" t="str">
        <v>Tag: Bisexual</v>
      </c>
      <c r="M154" s="3">
        <f t="shared" si="32"/>
        <v>148</v>
      </c>
      <c r="N154" s="3" t="str">
        <v>Studio: Hakuhodo DY Music &amp; Pictures</v>
      </c>
      <c r="P154" s="3" t="str">
        <f t="shared" si="33"/>
        <v/>
      </c>
      <c r="Q154" s="3"/>
      <c r="S154" s="3" t="str">
        <f t="shared" si="34"/>
        <v/>
      </c>
      <c r="T154" s="3"/>
      <c r="V154" s="3" t="str">
        <f t="shared" si="35"/>
        <v/>
      </c>
      <c r="W154" s="3"/>
      <c r="Y154" s="3" t="str">
        <f t="shared" si="36"/>
        <v/>
      </c>
      <c r="Z154" s="3"/>
      <c r="AB154" s="3" t="str">
        <f t="shared" si="37"/>
        <v/>
      </c>
      <c r="AC154" s="3"/>
      <c r="AE154" s="3">
        <f t="shared" si="38"/>
        <v>148</v>
      </c>
      <c r="AF154" s="3" t="str">
        <v>Staff: Katsuya Tasaki (Planning)</v>
      </c>
      <c r="AH154" s="3">
        <f t="shared" si="29"/>
        <v>148</v>
      </c>
      <c r="AI154" s="3" t="str">
        <v>Staff Role: Key Animation  (ep 11)</v>
      </c>
    </row>
    <row r="155" spans="1:35" x14ac:dyDescent="0.3">
      <c r="A155" t="s">
        <v>135</v>
      </c>
      <c r="B155" s="5">
        <v>76.6666666666666</v>
      </c>
      <c r="C155" s="9">
        <v>6</v>
      </c>
      <c r="D155" s="6">
        <v>8.4328882642304998E-4</v>
      </c>
      <c r="E155" s="7">
        <v>6.4652143359100495E-2</v>
      </c>
      <c r="G155" s="3" t="str">
        <f t="shared" si="30"/>
        <v/>
      </c>
      <c r="H155" s="3"/>
      <c r="J155" s="3">
        <f t="shared" si="31"/>
        <v>149</v>
      </c>
      <c r="K155" s="3" t="str">
        <v>Tag: Youkai</v>
      </c>
      <c r="M155" s="3">
        <f t="shared" si="32"/>
        <v>149</v>
      </c>
      <c r="N155" s="3" t="str">
        <v>Studio: CONNECT</v>
      </c>
      <c r="P155" s="3" t="str">
        <f t="shared" si="33"/>
        <v/>
      </c>
      <c r="Q155" s="3"/>
      <c r="S155" s="3" t="str">
        <f t="shared" si="34"/>
        <v/>
      </c>
      <c r="T155" s="3"/>
      <c r="V155" s="3" t="str">
        <f t="shared" si="35"/>
        <v/>
      </c>
      <c r="W155" s="3"/>
      <c r="Y155" s="3" t="str">
        <f t="shared" si="36"/>
        <v/>
      </c>
      <c r="Z155" s="3"/>
      <c r="AB155" s="3" t="str">
        <f t="shared" si="37"/>
        <v/>
      </c>
      <c r="AC155" s="3"/>
      <c r="AE155" s="3">
        <f t="shared" si="38"/>
        <v>149</v>
      </c>
      <c r="AF155" s="3" t="str">
        <v>Staff: Hideo Momoda (Producer)</v>
      </c>
      <c r="AH155" s="3">
        <f t="shared" si="29"/>
        <v>149</v>
      </c>
      <c r="AI155" s="3" t="str">
        <v>Staff Role: ADR Engineer (English)</v>
      </c>
    </row>
    <row r="156" spans="1:35" x14ac:dyDescent="0.3">
      <c r="A156" t="s">
        <v>540</v>
      </c>
      <c r="B156" s="5">
        <v>76.6666666666666</v>
      </c>
      <c r="C156" s="9">
        <v>6</v>
      </c>
      <c r="D156" s="6">
        <v>8.4328882642304998E-4</v>
      </c>
      <c r="E156" s="7">
        <v>6.4652143359100495E-2</v>
      </c>
      <c r="G156" s="3" t="str">
        <f t="shared" si="30"/>
        <v/>
      </c>
      <c r="H156" s="3"/>
      <c r="J156" s="3">
        <f t="shared" si="31"/>
        <v>150</v>
      </c>
      <c r="K156" s="3" t="str">
        <v>Tag: Superhero</v>
      </c>
      <c r="M156" s="3">
        <f t="shared" si="32"/>
        <v>150</v>
      </c>
      <c r="N156" s="3" t="str">
        <v>Studio: DMM music</v>
      </c>
      <c r="P156" s="3" t="str">
        <f t="shared" si="33"/>
        <v/>
      </c>
      <c r="Q156" s="3"/>
      <c r="S156" s="3" t="str">
        <f t="shared" si="34"/>
        <v/>
      </c>
      <c r="T156" s="3"/>
      <c r="V156" s="3" t="str">
        <f t="shared" si="35"/>
        <v/>
      </c>
      <c r="W156" s="3"/>
      <c r="Y156" s="3" t="str">
        <f t="shared" si="36"/>
        <v/>
      </c>
      <c r="Z156" s="3"/>
      <c r="AB156" s="3" t="str">
        <f t="shared" si="37"/>
        <v/>
      </c>
      <c r="AC156" s="3"/>
      <c r="AE156" s="3">
        <f t="shared" si="38"/>
        <v>150</v>
      </c>
      <c r="AF156" s="3" t="str">
        <v>Staff: Mitsuhiro Sakakibara (Planning)</v>
      </c>
      <c r="AH156" s="3">
        <f t="shared" si="29"/>
        <v>150</v>
      </c>
      <c r="AI156" s="3" t="str">
        <v>Staff Role: Key Animation  (ep 1)</v>
      </c>
    </row>
    <row r="157" spans="1:35" x14ac:dyDescent="0.3">
      <c r="A157" t="s">
        <v>108</v>
      </c>
      <c r="B157" s="5">
        <v>75</v>
      </c>
      <c r="C157" s="9">
        <v>6</v>
      </c>
      <c r="D157" s="6">
        <v>8.4328882642304998E-4</v>
      </c>
      <c r="E157" s="7">
        <v>6.3246661981728694E-2</v>
      </c>
      <c r="G157" s="3" t="str">
        <f t="shared" si="30"/>
        <v/>
      </c>
      <c r="H157" s="3"/>
      <c r="J157" s="3">
        <f t="shared" si="31"/>
        <v>151</v>
      </c>
      <c r="K157" s="3" t="str">
        <v>Tag: Post-Apocalyptic</v>
      </c>
      <c r="M157" s="3">
        <f t="shared" si="32"/>
        <v>151</v>
      </c>
      <c r="N157" s="3" t="str">
        <v>Studio: Media Blasters</v>
      </c>
      <c r="P157" s="3" t="str">
        <f t="shared" si="33"/>
        <v/>
      </c>
      <c r="Q157" s="3"/>
      <c r="S157" s="3" t="str">
        <f t="shared" si="34"/>
        <v/>
      </c>
      <c r="T157" s="3"/>
      <c r="V157" s="3" t="str">
        <f t="shared" si="35"/>
        <v/>
      </c>
      <c r="W157" s="3"/>
      <c r="Y157" s="3" t="str">
        <f t="shared" si="36"/>
        <v/>
      </c>
      <c r="Z157" s="3"/>
      <c r="AB157" s="3" t="str">
        <f t="shared" si="37"/>
        <v/>
      </c>
      <c r="AC157" s="3"/>
      <c r="AE157" s="3">
        <f t="shared" si="38"/>
        <v>151</v>
      </c>
      <c r="AF157" s="3" t="str">
        <v>Staff: Masato Yoshida (Planning)</v>
      </c>
      <c r="AH157" s="3">
        <f t="shared" si="29"/>
        <v>151</v>
      </c>
      <c r="AI157" s="3" t="str">
        <v>Staff Role: Production Committee</v>
      </c>
    </row>
    <row r="158" spans="1:35" x14ac:dyDescent="0.3">
      <c r="A158" t="s">
        <v>141</v>
      </c>
      <c r="B158" s="5">
        <v>75</v>
      </c>
      <c r="C158" s="9">
        <v>6</v>
      </c>
      <c r="D158" s="6">
        <v>8.4328882642304998E-4</v>
      </c>
      <c r="E158" s="7">
        <v>6.3246661981728694E-2</v>
      </c>
      <c r="G158" s="3" t="str">
        <f t="shared" si="30"/>
        <v/>
      </c>
      <c r="H158" s="3"/>
      <c r="J158" s="3">
        <f t="shared" si="31"/>
        <v>152</v>
      </c>
      <c r="K158" s="3" t="str">
        <v>Tag: Witch</v>
      </c>
      <c r="M158" s="3">
        <f t="shared" si="32"/>
        <v>152</v>
      </c>
      <c r="N158" s="3" t="str">
        <v>Studio: TYO Animations</v>
      </c>
      <c r="P158" s="3" t="str">
        <f t="shared" si="33"/>
        <v/>
      </c>
      <c r="Q158" s="3"/>
      <c r="S158" s="3" t="str">
        <f t="shared" si="34"/>
        <v/>
      </c>
      <c r="T158" s="3"/>
      <c r="V158" s="3" t="str">
        <f t="shared" si="35"/>
        <v/>
      </c>
      <c r="W158" s="3"/>
      <c r="Y158" s="3" t="str">
        <f t="shared" si="36"/>
        <v/>
      </c>
      <c r="Z158" s="3"/>
      <c r="AB158" s="3" t="str">
        <f t="shared" si="37"/>
        <v/>
      </c>
      <c r="AC158" s="3"/>
      <c r="AE158" s="3">
        <f t="shared" si="38"/>
        <v>152</v>
      </c>
      <c r="AF158" s="3" t="str">
        <v>Staff: Chiyomaru Shikura (Planning)</v>
      </c>
      <c r="AH158" s="3">
        <f t="shared" si="29"/>
        <v>152</v>
      </c>
      <c r="AI158" s="3" t="str">
        <v>Staff Role: Insert Song Performance  (ep 133)</v>
      </c>
    </row>
    <row r="159" spans="1:35" x14ac:dyDescent="0.3">
      <c r="A159" t="s">
        <v>210</v>
      </c>
      <c r="B159" s="5">
        <v>75</v>
      </c>
      <c r="C159" s="9">
        <v>6</v>
      </c>
      <c r="D159" s="6">
        <v>8.4328882642304998E-4</v>
      </c>
      <c r="E159" s="7">
        <v>6.3246661981728694E-2</v>
      </c>
      <c r="G159" s="3" t="str">
        <f t="shared" si="30"/>
        <v/>
      </c>
      <c r="H159" s="3"/>
      <c r="J159" s="3">
        <f t="shared" si="31"/>
        <v>153</v>
      </c>
      <c r="K159" s="3" t="str">
        <v>Tag: Tanks</v>
      </c>
      <c r="M159" s="3">
        <f t="shared" si="32"/>
        <v>153</v>
      </c>
      <c r="N159" s="3" t="str">
        <v>Studio: Studio Jack</v>
      </c>
      <c r="P159" s="3" t="str">
        <f t="shared" si="33"/>
        <v/>
      </c>
      <c r="Q159" s="3"/>
      <c r="S159" s="3" t="str">
        <f t="shared" si="34"/>
        <v/>
      </c>
      <c r="T159" s="3"/>
      <c r="V159" s="3" t="str">
        <f t="shared" si="35"/>
        <v/>
      </c>
      <c r="W159" s="3"/>
      <c r="Y159" s="3" t="str">
        <f t="shared" si="36"/>
        <v/>
      </c>
      <c r="Z159" s="3"/>
      <c r="AB159" s="3" t="str">
        <f t="shared" si="37"/>
        <v/>
      </c>
      <c r="AC159" s="3"/>
      <c r="AE159" s="3">
        <f t="shared" si="38"/>
        <v>153</v>
      </c>
      <c r="AF159" s="3" t="str">
        <v>Staff: Hajime Maruo (Mechanical Animation Director (eps 1-5))</v>
      </c>
      <c r="AH159" s="3">
        <f t="shared" si="29"/>
        <v>153</v>
      </c>
      <c r="AI159" s="3" t="str">
        <v>Staff Role: Theme Song Performance (OP 1)</v>
      </c>
    </row>
    <row r="160" spans="1:35" x14ac:dyDescent="0.3">
      <c r="A160" t="s">
        <v>310</v>
      </c>
      <c r="B160" s="5">
        <v>75</v>
      </c>
      <c r="C160" s="9">
        <v>6</v>
      </c>
      <c r="D160" s="6">
        <v>8.4328882642304998E-4</v>
      </c>
      <c r="E160" s="7">
        <v>6.3246661981728694E-2</v>
      </c>
      <c r="G160" s="3" t="str">
        <f t="shared" si="30"/>
        <v/>
      </c>
      <c r="H160" s="3"/>
      <c r="J160" s="3">
        <f t="shared" si="31"/>
        <v>154</v>
      </c>
      <c r="K160" s="3" t="str">
        <v>Tag: Delinquents</v>
      </c>
      <c r="M160" s="3">
        <f t="shared" si="32"/>
        <v>154</v>
      </c>
      <c r="N160" s="3" t="str">
        <v>Studio: East Japan Marketing &amp; Communications</v>
      </c>
      <c r="P160" s="3" t="str">
        <f t="shared" si="33"/>
        <v/>
      </c>
      <c r="Q160" s="3"/>
      <c r="S160" s="3" t="str">
        <f t="shared" si="34"/>
        <v/>
      </c>
      <c r="T160" s="3"/>
      <c r="V160" s="3" t="str">
        <f t="shared" si="35"/>
        <v/>
      </c>
      <c r="W160" s="3"/>
      <c r="Y160" s="3" t="str">
        <f t="shared" si="36"/>
        <v/>
      </c>
      <c r="Z160" s="3"/>
      <c r="AB160" s="3" t="str">
        <f t="shared" si="37"/>
        <v/>
      </c>
      <c r="AC160" s="3"/>
      <c r="AE160" s="3">
        <f t="shared" si="38"/>
        <v>154</v>
      </c>
      <c r="AF160" s="3" t="str">
        <v>Staff: Nahoko Yamaoka (Prop Design)</v>
      </c>
      <c r="AH160" s="3">
        <f t="shared" si="29"/>
        <v>154</v>
      </c>
      <c r="AI160" s="3" t="str">
        <v>Staff Role: Theme Song Performance (R2)</v>
      </c>
    </row>
    <row r="161" spans="1:35" x14ac:dyDescent="0.3">
      <c r="A161" t="s">
        <v>347</v>
      </c>
      <c r="B161" s="5">
        <v>75</v>
      </c>
      <c r="C161" s="9">
        <v>6</v>
      </c>
      <c r="D161" s="6">
        <v>8.4328882642304998E-4</v>
      </c>
      <c r="E161" s="7">
        <v>6.3246661981728694E-2</v>
      </c>
      <c r="G161" s="3" t="str">
        <f t="shared" si="30"/>
        <v/>
      </c>
      <c r="H161" s="3"/>
      <c r="J161" s="3">
        <f t="shared" si="31"/>
        <v>155</v>
      </c>
      <c r="K161" s="3" t="str">
        <v>Tag: Mythology</v>
      </c>
      <c r="M161" s="3">
        <f t="shared" si="32"/>
        <v>155</v>
      </c>
      <c r="N161" s="3" t="str">
        <v>Studio: Lawson Entertainment</v>
      </c>
      <c r="P161" s="3" t="str">
        <f t="shared" si="33"/>
        <v/>
      </c>
      <c r="Q161" s="3"/>
      <c r="S161" s="3" t="str">
        <f t="shared" si="34"/>
        <v/>
      </c>
      <c r="T161" s="3"/>
      <c r="V161" s="3" t="str">
        <f t="shared" si="35"/>
        <v/>
      </c>
      <c r="W161" s="3"/>
      <c r="Y161" s="3" t="str">
        <f t="shared" si="36"/>
        <v/>
      </c>
      <c r="Z161" s="3"/>
      <c r="AB161" s="3" t="str">
        <f t="shared" si="37"/>
        <v/>
      </c>
      <c r="AC161" s="3"/>
      <c r="AE161" s="3">
        <f t="shared" si="38"/>
        <v>155</v>
      </c>
      <c r="AF161" s="3" t="str">
        <v>Staff: Chuck Huber (Script (English; eps 4-13))</v>
      </c>
      <c r="AH161" s="3">
        <f t="shared" si="29"/>
        <v>155</v>
      </c>
      <c r="AI161" s="3" t="str">
        <v>Staff Role: Theme Song Performance (Kasanaru Kage)</v>
      </c>
    </row>
    <row r="162" spans="1:35" x14ac:dyDescent="0.3">
      <c r="A162" t="s">
        <v>611</v>
      </c>
      <c r="B162" s="5">
        <v>75</v>
      </c>
      <c r="C162" s="9">
        <v>6</v>
      </c>
      <c r="D162" s="6">
        <v>8.4328882642304998E-4</v>
      </c>
      <c r="E162" s="7">
        <v>6.3246661981728694E-2</v>
      </c>
      <c r="G162" s="3" t="str">
        <f t="shared" si="30"/>
        <v/>
      </c>
      <c r="H162" s="3"/>
      <c r="J162" s="3">
        <f t="shared" si="31"/>
        <v>156</v>
      </c>
      <c r="K162" s="3" t="str">
        <v>Tag: Kemonomimi</v>
      </c>
      <c r="M162" s="3">
        <f t="shared" si="32"/>
        <v>156</v>
      </c>
      <c r="N162" s="3" t="str">
        <v>Studio: STORY Inc.</v>
      </c>
      <c r="P162" s="3" t="str">
        <f t="shared" si="33"/>
        <v/>
      </c>
      <c r="Q162" s="3"/>
      <c r="S162" s="3" t="str">
        <f t="shared" si="34"/>
        <v/>
      </c>
      <c r="T162" s="3"/>
      <c r="V162" s="3" t="str">
        <f t="shared" si="35"/>
        <v/>
      </c>
      <c r="W162" s="3"/>
      <c r="Y162" s="3" t="str">
        <f t="shared" si="36"/>
        <v/>
      </c>
      <c r="Z162" s="3"/>
      <c r="AB162" s="3" t="str">
        <f t="shared" si="37"/>
        <v/>
      </c>
      <c r="AC162" s="3"/>
      <c r="AE162" s="3">
        <f t="shared" si="38"/>
        <v>156</v>
      </c>
      <c r="AF162" s="3" t="str">
        <v>Staff: Eric Vale (Script (English; ep 1))</v>
      </c>
      <c r="AH162" s="3">
        <f t="shared" si="29"/>
        <v>156</v>
      </c>
      <c r="AI162" s="3" t="str">
        <v>Staff Role: Theme Song Performance  (ED14)</v>
      </c>
    </row>
    <row r="163" spans="1:35" x14ac:dyDescent="0.3">
      <c r="A163" t="s">
        <v>636</v>
      </c>
      <c r="B163" s="5">
        <v>75</v>
      </c>
      <c r="C163" s="9">
        <v>6</v>
      </c>
      <c r="D163" s="6">
        <v>8.4328882642304998E-4</v>
      </c>
      <c r="E163" s="7">
        <v>6.3246661981728694E-2</v>
      </c>
      <c r="G163" s="3" t="str">
        <f t="shared" si="30"/>
        <v/>
      </c>
      <c r="H163" s="3"/>
      <c r="J163" s="3">
        <f t="shared" si="31"/>
        <v>157</v>
      </c>
      <c r="K163" s="3" t="str">
        <v>Tag: Writing</v>
      </c>
      <c r="M163" s="3">
        <f t="shared" si="32"/>
        <v>157</v>
      </c>
      <c r="N163" s="3" t="str">
        <v>Studio: GKids</v>
      </c>
      <c r="P163" s="3" t="str">
        <f t="shared" si="33"/>
        <v/>
      </c>
      <c r="Q163" s="3"/>
      <c r="S163" s="3" t="str">
        <f t="shared" si="34"/>
        <v/>
      </c>
      <c r="T163" s="3"/>
      <c r="V163" s="3" t="str">
        <f t="shared" si="35"/>
        <v/>
      </c>
      <c r="W163" s="3"/>
      <c r="Y163" s="3" t="str">
        <f t="shared" si="36"/>
        <v/>
      </c>
      <c r="Z163" s="3"/>
      <c r="AB163" s="3" t="str">
        <f t="shared" si="37"/>
        <v/>
      </c>
      <c r="AC163" s="3"/>
      <c r="AE163" s="3">
        <f t="shared" si="38"/>
        <v>157</v>
      </c>
      <c r="AF163" s="3" t="str">
        <v>Staff: Clarine Harp (Producer (English))</v>
      </c>
      <c r="AH163" s="3">
        <f t="shared" si="29"/>
        <v>157</v>
      </c>
      <c r="AI163" s="3" t="str">
        <v>Staff Role: Theme Song Performance (12th ED)</v>
      </c>
    </row>
    <row r="164" spans="1:35" x14ac:dyDescent="0.3">
      <c r="A164" t="s">
        <v>692</v>
      </c>
      <c r="B164" s="5">
        <v>75</v>
      </c>
      <c r="C164" s="9">
        <v>6</v>
      </c>
      <c r="D164" s="6">
        <v>8.4328882642304998E-4</v>
      </c>
      <c r="E164" s="7">
        <v>6.3246661981728694E-2</v>
      </c>
      <c r="G164" s="3" t="str">
        <f t="shared" si="30"/>
        <v/>
      </c>
      <c r="H164" s="3"/>
      <c r="J164" s="3">
        <f t="shared" si="31"/>
        <v>158</v>
      </c>
      <c r="K164" s="3" t="str">
        <v>Tag: Shapeshifting</v>
      </c>
      <c r="M164" s="3">
        <f t="shared" si="32"/>
        <v>158</v>
      </c>
      <c r="N164" s="3" t="str">
        <v>Studio: 8-bit</v>
      </c>
      <c r="P164" s="3" t="str">
        <f t="shared" si="33"/>
        <v/>
      </c>
      <c r="Q164" s="3"/>
      <c r="S164" s="3" t="str">
        <f t="shared" si="34"/>
        <v/>
      </c>
      <c r="T164" s="3"/>
      <c r="V164" s="3" t="str">
        <f t="shared" si="35"/>
        <v/>
      </c>
      <c r="W164" s="3"/>
      <c r="Y164" s="3" t="str">
        <f t="shared" si="36"/>
        <v/>
      </c>
      <c r="Z164" s="3"/>
      <c r="AB164" s="3" t="str">
        <f t="shared" si="37"/>
        <v/>
      </c>
      <c r="AC164" s="3"/>
      <c r="AE164" s="3">
        <f t="shared" si="38"/>
        <v>158</v>
      </c>
      <c r="AF164" s="3" t="str">
        <v>Staff: Ryougo Narita (Original Creator)</v>
      </c>
      <c r="AH164" s="3">
        <f t="shared" si="29"/>
        <v>158</v>
      </c>
      <c r="AI164" s="3" t="str">
        <v>Staff Role: Theme Song Performance (Ending 7)</v>
      </c>
    </row>
    <row r="165" spans="1:35" x14ac:dyDescent="0.3">
      <c r="A165" t="s">
        <v>79</v>
      </c>
      <c r="B165" s="5">
        <v>73.3333333333333</v>
      </c>
      <c r="C165" s="9">
        <v>6</v>
      </c>
      <c r="D165" s="6">
        <v>8.4328882642304998E-4</v>
      </c>
      <c r="E165" s="7">
        <v>6.1841180604356998E-2</v>
      </c>
      <c r="G165" s="3" t="str">
        <f t="shared" si="30"/>
        <v/>
      </c>
      <c r="H165" s="3"/>
      <c r="J165" s="3">
        <f t="shared" si="31"/>
        <v>159</v>
      </c>
      <c r="K165" s="3" t="str">
        <v>Tag: Economics</v>
      </c>
      <c r="M165" s="3">
        <f t="shared" si="32"/>
        <v>159</v>
      </c>
      <c r="N165" s="3" t="str">
        <v>Studio: Bandai Namco Pictures</v>
      </c>
      <c r="P165" s="3" t="str">
        <f t="shared" si="33"/>
        <v/>
      </c>
      <c r="Q165" s="3"/>
      <c r="S165" s="3" t="str">
        <f t="shared" si="34"/>
        <v/>
      </c>
      <c r="T165" s="3"/>
      <c r="V165" s="3" t="str">
        <f t="shared" si="35"/>
        <v/>
      </c>
      <c r="W165" s="3"/>
      <c r="Y165" s="3" t="str">
        <f t="shared" si="36"/>
        <v/>
      </c>
      <c r="Z165" s="3"/>
      <c r="AB165" s="3" t="str">
        <f t="shared" si="37"/>
        <v/>
      </c>
      <c r="AC165" s="3"/>
      <c r="AE165" s="3">
        <f t="shared" si="38"/>
        <v>159</v>
      </c>
      <c r="AF165" s="3" t="str">
        <v>Staff: Katsumi Enami (Original Character Design)</v>
      </c>
      <c r="AH165" s="3">
        <f t="shared" si="29"/>
        <v>159</v>
      </c>
      <c r="AI165" s="3" t="str">
        <v>Staff Role: Theme Song Performance (ED6, OP5)</v>
      </c>
    </row>
    <row r="166" spans="1:35" x14ac:dyDescent="0.3">
      <c r="A166" t="s">
        <v>176</v>
      </c>
      <c r="B166" s="5">
        <v>73.3333333333333</v>
      </c>
      <c r="C166" s="9">
        <v>6</v>
      </c>
      <c r="D166" s="6">
        <v>8.4328882642304998E-4</v>
      </c>
      <c r="E166" s="7">
        <v>6.1841180604356998E-2</v>
      </c>
      <c r="G166" s="3" t="str">
        <f t="shared" si="30"/>
        <v/>
      </c>
      <c r="H166" s="3"/>
      <c r="J166" s="3">
        <f t="shared" si="31"/>
        <v>160</v>
      </c>
      <c r="K166" s="3" t="str">
        <v>Tag: Monster Boy</v>
      </c>
      <c r="M166" s="3">
        <f t="shared" si="32"/>
        <v>160</v>
      </c>
      <c r="N166" s="3" t="str">
        <v>Studio: Haoliners Animation</v>
      </c>
      <c r="P166" s="3" t="str">
        <f t="shared" si="33"/>
        <v/>
      </c>
      <c r="Q166" s="3"/>
      <c r="S166" s="3" t="str">
        <f t="shared" si="34"/>
        <v/>
      </c>
      <c r="T166" s="3"/>
      <c r="V166" s="3" t="str">
        <f t="shared" si="35"/>
        <v/>
      </c>
      <c r="W166" s="3"/>
      <c r="Y166" s="3" t="str">
        <f t="shared" si="36"/>
        <v/>
      </c>
      <c r="Z166" s="3"/>
      <c r="AB166" s="3" t="str">
        <f t="shared" si="37"/>
        <v/>
      </c>
      <c r="AC166" s="3"/>
      <c r="AE166" s="3">
        <f t="shared" si="38"/>
        <v>160</v>
      </c>
      <c r="AF166" s="3" t="str">
        <v>Staff: Yuki Kajiura (Theme Song Composition (ED))</v>
      </c>
      <c r="AH166" s="3">
        <f t="shared" si="29"/>
        <v>160</v>
      </c>
      <c r="AI166" s="3" t="str">
        <v>Staff Role: Theme Song Arrangement (OP5, ED6)</v>
      </c>
    </row>
    <row r="167" spans="1:35" x14ac:dyDescent="0.3">
      <c r="A167" t="s">
        <v>231</v>
      </c>
      <c r="B167" s="5">
        <v>73.3333333333333</v>
      </c>
      <c r="C167" s="9">
        <v>6</v>
      </c>
      <c r="D167" s="6">
        <v>8.4328882642304998E-4</v>
      </c>
      <c r="E167" s="7">
        <v>6.1841180604356998E-2</v>
      </c>
      <c r="G167" s="3" t="str">
        <f t="shared" si="30"/>
        <v/>
      </c>
      <c r="H167" s="3"/>
      <c r="J167" s="3">
        <f t="shared" si="31"/>
        <v>161</v>
      </c>
      <c r="K167" s="3" t="str">
        <v>Tag: Idol</v>
      </c>
      <c r="M167" s="3">
        <f t="shared" si="32"/>
        <v>161</v>
      </c>
      <c r="N167" s="3" t="str">
        <v>Studio: Studio LAN</v>
      </c>
      <c r="P167" s="3" t="str">
        <f t="shared" si="33"/>
        <v/>
      </c>
      <c r="Q167" s="3"/>
      <c r="S167" s="3" t="str">
        <f t="shared" si="34"/>
        <v/>
      </c>
      <c r="T167" s="3"/>
      <c r="V167" s="3" t="str">
        <f t="shared" si="35"/>
        <v/>
      </c>
      <c r="W167" s="3"/>
      <c r="Y167" s="3" t="str">
        <f t="shared" si="36"/>
        <v/>
      </c>
      <c r="Z167" s="3"/>
      <c r="AB167" s="3" t="str">
        <f t="shared" si="37"/>
        <v/>
      </c>
      <c r="AC167" s="3"/>
      <c r="AE167" s="3">
        <f t="shared" si="38"/>
        <v>161</v>
      </c>
      <c r="AF167" s="3" t="str">
        <v>Staff: Yuki Kajiura (Theme Song Lyrics (ED))</v>
      </c>
      <c r="AH167" s="3">
        <f t="shared" si="29"/>
        <v>161</v>
      </c>
      <c r="AI167" s="3" t="str">
        <v>Staff Role: Theme Song Performance (R3)</v>
      </c>
    </row>
    <row r="168" spans="1:35" x14ac:dyDescent="0.3">
      <c r="A168" t="s">
        <v>630</v>
      </c>
      <c r="B168" s="5">
        <v>73.3333333333333</v>
      </c>
      <c r="C168" s="9">
        <v>6</v>
      </c>
      <c r="D168" s="6">
        <v>8.4328882642304998E-4</v>
      </c>
      <c r="E168" s="7">
        <v>6.1841180604356998E-2</v>
      </c>
      <c r="G168" s="3" t="str">
        <f t="shared" si="30"/>
        <v/>
      </c>
      <c r="H168" s="3"/>
      <c r="J168" s="3">
        <f t="shared" si="31"/>
        <v>162</v>
      </c>
      <c r="K168" s="3" t="str">
        <v>Tag: Suicide</v>
      </c>
      <c r="M168" s="3">
        <f t="shared" si="32"/>
        <v>162</v>
      </c>
      <c r="N168" s="3" t="str">
        <v>Studio: SPRiNG</v>
      </c>
      <c r="P168" s="3" t="str">
        <f t="shared" si="33"/>
        <v/>
      </c>
      <c r="Q168" s="3"/>
      <c r="S168" s="3" t="str">
        <f t="shared" si="34"/>
        <v/>
      </c>
      <c r="T168" s="3"/>
      <c r="V168" s="3" t="str">
        <f t="shared" si="35"/>
        <v/>
      </c>
      <c r="W168" s="3"/>
      <c r="Y168" s="3" t="str">
        <f t="shared" si="36"/>
        <v/>
      </c>
      <c r="Z168" s="3"/>
      <c r="AB168" s="3" t="str">
        <f t="shared" si="37"/>
        <v/>
      </c>
      <c r="AC168" s="3"/>
      <c r="AE168" s="3">
        <f t="shared" si="38"/>
        <v>162</v>
      </c>
      <c r="AF168" s="3" t="str">
        <v>Staff: Makoto Yoshimori (Music)</v>
      </c>
      <c r="AH168" s="3">
        <f t="shared" si="29"/>
        <v>162</v>
      </c>
      <c r="AI168" s="3" t="str">
        <v>Staff Role: Theme Song Performance (OP7)</v>
      </c>
    </row>
    <row r="169" spans="1:35" x14ac:dyDescent="0.3">
      <c r="A169" t="str">
        <f>HYPERLINK("https://anilist.co/staff/102194","Staff: Youta Tsuruoka (Sound Director)")</f>
        <v>Staff: Youta Tsuruoka (Sound Director)</v>
      </c>
      <c r="B169" s="5">
        <v>73.3333333333333</v>
      </c>
      <c r="C169" s="9">
        <v>6</v>
      </c>
      <c r="D169" s="6">
        <v>8.4328882642304998E-4</v>
      </c>
      <c r="E169" s="7">
        <v>6.1841180604356998E-2</v>
      </c>
      <c r="G169" s="3" t="str">
        <f t="shared" si="30"/>
        <v/>
      </c>
      <c r="H169" s="3"/>
      <c r="J169" s="3">
        <f t="shared" si="31"/>
        <v>163</v>
      </c>
      <c r="K169" s="3" t="str">
        <v>Tag: Butler</v>
      </c>
      <c r="M169" s="3">
        <f t="shared" si="32"/>
        <v>163</v>
      </c>
      <c r="N169" s="3" t="str">
        <v>Studio: Studio Gokumi</v>
      </c>
      <c r="P169" s="3" t="str">
        <f t="shared" si="33"/>
        <v/>
      </c>
      <c r="Q169" s="3"/>
      <c r="S169" s="3" t="str">
        <f t="shared" si="34"/>
        <v/>
      </c>
      <c r="T169" s="3"/>
      <c r="V169" s="3" t="str">
        <f t="shared" si="35"/>
        <v/>
      </c>
      <c r="W169" s="3"/>
      <c r="Y169" s="3" t="str">
        <f t="shared" si="36"/>
        <v/>
      </c>
      <c r="Z169" s="3"/>
      <c r="AB169" s="3" t="str">
        <f t="shared" si="37"/>
        <v/>
      </c>
      <c r="AC169" s="3"/>
      <c r="AE169" s="3">
        <f t="shared" si="38"/>
        <v>163</v>
      </c>
      <c r="AF169" s="3" t="str">
        <v>Staff: Takahiro Kishida (Character Design)</v>
      </c>
      <c r="AH169" s="3">
        <f t="shared" si="29"/>
        <v>163</v>
      </c>
      <c r="AI169" s="3" t="str">
        <v>Staff Role: Key Animation (eps 2, 7)</v>
      </c>
    </row>
    <row r="170" spans="1:35" x14ac:dyDescent="0.3">
      <c r="A170" t="s">
        <v>124</v>
      </c>
      <c r="B170" s="5">
        <v>71.6666666666666</v>
      </c>
      <c r="C170" s="9">
        <v>6</v>
      </c>
      <c r="D170" s="6">
        <v>8.4328882642304998E-4</v>
      </c>
      <c r="E170" s="7">
        <v>6.0435699226985197E-2</v>
      </c>
      <c r="G170" s="3" t="str">
        <f t="shared" si="30"/>
        <v/>
      </c>
      <c r="H170" s="3"/>
      <c r="J170" s="3">
        <f t="shared" si="31"/>
        <v>164</v>
      </c>
      <c r="K170" s="3" t="str">
        <v>Tag: Basketball</v>
      </c>
      <c r="M170" s="3">
        <f t="shared" si="32"/>
        <v>164</v>
      </c>
      <c r="N170" s="3" t="str">
        <v>Studio: NAS</v>
      </c>
      <c r="P170" s="3" t="str">
        <f t="shared" si="33"/>
        <v/>
      </c>
      <c r="Q170" s="3"/>
      <c r="S170" s="3" t="str">
        <f t="shared" si="34"/>
        <v/>
      </c>
      <c r="T170" s="3"/>
      <c r="V170" s="3" t="str">
        <f t="shared" si="35"/>
        <v/>
      </c>
      <c r="W170" s="3"/>
      <c r="Y170" s="3" t="str">
        <f t="shared" si="36"/>
        <v/>
      </c>
      <c r="Z170" s="3"/>
      <c r="AB170" s="3" t="str">
        <f t="shared" si="37"/>
        <v/>
      </c>
      <c r="AC170" s="3"/>
      <c r="AE170" s="3">
        <f t="shared" si="38"/>
        <v>164</v>
      </c>
      <c r="AF170" s="3" t="str">
        <v>Staff: Takahiro Oomori (Storyboard (OP, eps 1, 4, 13))</v>
      </c>
      <c r="AH170" s="3">
        <f t="shared" si="29"/>
        <v>164</v>
      </c>
      <c r="AI170" s="3" t="str">
        <v>Staff Role: Mechanical Animation Director (eps 1-5)</v>
      </c>
    </row>
    <row r="171" spans="1:35" x14ac:dyDescent="0.3">
      <c r="A171" t="s">
        <v>143</v>
      </c>
      <c r="B171" s="5">
        <v>71.6666666666666</v>
      </c>
      <c r="C171" s="9">
        <v>6</v>
      </c>
      <c r="D171" s="6">
        <v>8.4328882642304998E-4</v>
      </c>
      <c r="E171" s="7">
        <v>6.0435699226985197E-2</v>
      </c>
      <c r="G171" s="3" t="str">
        <f t="shared" si="30"/>
        <v/>
      </c>
      <c r="H171" s="3"/>
      <c r="J171" s="3">
        <f t="shared" si="31"/>
        <v>165</v>
      </c>
      <c r="K171" s="3" t="str">
        <v>Tag: Acting</v>
      </c>
      <c r="M171" s="3">
        <f t="shared" si="32"/>
        <v>165</v>
      </c>
      <c r="N171" s="3" t="str">
        <v>Studio: ENGI</v>
      </c>
      <c r="P171" s="3" t="str">
        <f t="shared" si="33"/>
        <v/>
      </c>
      <c r="Q171" s="3"/>
      <c r="S171" s="3" t="str">
        <f t="shared" si="34"/>
        <v/>
      </c>
      <c r="T171" s="3"/>
      <c r="V171" s="3" t="str">
        <f t="shared" si="35"/>
        <v/>
      </c>
      <c r="W171" s="3"/>
      <c r="Y171" s="3" t="str">
        <f t="shared" si="36"/>
        <v/>
      </c>
      <c r="Z171" s="3"/>
      <c r="AB171" s="3" t="str">
        <f t="shared" si="37"/>
        <v/>
      </c>
      <c r="AC171" s="3"/>
      <c r="AE171" s="3">
        <f t="shared" si="38"/>
        <v>165</v>
      </c>
      <c r="AF171" s="3" t="str">
        <v>Staff: Takahiro Oomori (Director)</v>
      </c>
      <c r="AH171" s="3">
        <f t="shared" si="29"/>
        <v>165</v>
      </c>
      <c r="AI171" s="3" t="str">
        <v>Staff Role: Script (English; eps 4-13)</v>
      </c>
    </row>
    <row r="172" spans="1:35" x14ac:dyDescent="0.3">
      <c r="A172" t="s">
        <v>326</v>
      </c>
      <c r="B172" s="5">
        <v>71.6666666666666</v>
      </c>
      <c r="C172" s="9">
        <v>6</v>
      </c>
      <c r="D172" s="6">
        <v>8.4328882642304998E-4</v>
      </c>
      <c r="E172" s="7">
        <v>6.0435699226985197E-2</v>
      </c>
      <c r="G172" s="3" t="str">
        <f t="shared" si="30"/>
        <v/>
      </c>
      <c r="H172" s="3"/>
      <c r="J172" s="3">
        <f t="shared" si="31"/>
        <v>166</v>
      </c>
      <c r="K172" s="3" t="str">
        <v>Tag: Space</v>
      </c>
      <c r="M172" s="3">
        <f t="shared" si="32"/>
        <v>166</v>
      </c>
      <c r="N172" s="3" t="str">
        <v>Studio: YTV</v>
      </c>
      <c r="P172" s="3" t="str">
        <f t="shared" si="33"/>
        <v/>
      </c>
      <c r="Q172" s="3"/>
      <c r="S172" s="3" t="str">
        <f t="shared" si="34"/>
        <v/>
      </c>
      <c r="T172" s="3"/>
      <c r="V172" s="3" t="str">
        <f t="shared" si="35"/>
        <v/>
      </c>
      <c r="W172" s="3"/>
      <c r="Y172" s="3" t="str">
        <f t="shared" si="36"/>
        <v/>
      </c>
      <c r="Z172" s="3"/>
      <c r="AB172" s="3" t="str">
        <f t="shared" si="37"/>
        <v/>
      </c>
      <c r="AC172" s="3"/>
      <c r="AE172" s="3">
        <f t="shared" si="38"/>
        <v>166</v>
      </c>
      <c r="AF172" s="3" t="str">
        <v>Staff: Takahiro Oomori (Episode Director (OP, ep 13))</v>
      </c>
      <c r="AH172" s="3">
        <f t="shared" si="29"/>
        <v>166</v>
      </c>
      <c r="AI172" s="3" t="str">
        <v>Staff Role: Script (English; ep 1)</v>
      </c>
    </row>
    <row r="173" spans="1:35" x14ac:dyDescent="0.3">
      <c r="A173" t="s">
        <v>583</v>
      </c>
      <c r="B173" s="5">
        <v>71.6666666666666</v>
      </c>
      <c r="C173" s="9">
        <v>6</v>
      </c>
      <c r="D173" s="6">
        <v>8.4328882642304998E-4</v>
      </c>
      <c r="E173" s="7">
        <v>6.0435699226985197E-2</v>
      </c>
      <c r="G173" s="3" t="str">
        <f t="shared" si="30"/>
        <v/>
      </c>
      <c r="H173" s="3"/>
      <c r="J173" s="3">
        <f t="shared" si="31"/>
        <v>167</v>
      </c>
      <c r="K173" s="3" t="str">
        <v>Tag: Ninja</v>
      </c>
      <c r="M173" s="3">
        <f t="shared" si="32"/>
        <v>167</v>
      </c>
      <c r="N173" s="3" t="str">
        <v>Studio: NUT</v>
      </c>
      <c r="P173" s="3" t="str">
        <f t="shared" si="33"/>
        <v/>
      </c>
      <c r="Q173" s="3"/>
      <c r="S173" s="3" t="str">
        <f t="shared" si="34"/>
        <v/>
      </c>
      <c r="T173" s="3"/>
      <c r="V173" s="3" t="str">
        <f t="shared" si="35"/>
        <v/>
      </c>
      <c r="W173" s="3"/>
      <c r="Y173" s="3" t="str">
        <f t="shared" si="36"/>
        <v/>
      </c>
      <c r="Z173" s="3"/>
      <c r="AB173" s="3" t="str">
        <f t="shared" si="37"/>
        <v/>
      </c>
      <c r="AC173" s="3"/>
      <c r="AE173" s="3">
        <f t="shared" si="38"/>
        <v>167</v>
      </c>
      <c r="AF173" s="3" t="str">
        <v>Staff: Noboru Takagi (Script (eps 1-13))</v>
      </c>
      <c r="AH173" s="3">
        <f t="shared" si="29"/>
        <v>167</v>
      </c>
      <c r="AI173" s="3" t="str">
        <v>Staff Role: Storyboard (OP, eps 1, 4, 13)</v>
      </c>
    </row>
    <row r="174" spans="1:35" x14ac:dyDescent="0.3">
      <c r="A174" t="s">
        <v>7</v>
      </c>
      <c r="B174" s="5">
        <v>70</v>
      </c>
      <c r="C174" s="9">
        <v>6</v>
      </c>
      <c r="D174" s="6">
        <v>8.4328882642304998E-4</v>
      </c>
      <c r="E174" s="7">
        <v>5.90302178496135E-2</v>
      </c>
      <c r="G174" s="3" t="str">
        <f t="shared" si="30"/>
        <v/>
      </c>
      <c r="H174" s="3"/>
      <c r="J174" s="3">
        <f t="shared" si="31"/>
        <v>168</v>
      </c>
      <c r="K174" s="3" t="str">
        <v>Tag: Sadism</v>
      </c>
      <c r="M174" s="3">
        <f t="shared" si="32"/>
        <v>168</v>
      </c>
      <c r="N174" s="3" t="str">
        <v>Studio: ZEXCS</v>
      </c>
      <c r="P174" s="3" t="str">
        <f t="shared" si="33"/>
        <v/>
      </c>
      <c r="Q174" s="3"/>
      <c r="S174" s="3" t="str">
        <f t="shared" si="34"/>
        <v/>
      </c>
      <c r="T174" s="3"/>
      <c r="V174" s="3" t="str">
        <f t="shared" si="35"/>
        <v/>
      </c>
      <c r="W174" s="3"/>
      <c r="Y174" s="3" t="str">
        <f t="shared" si="36"/>
        <v/>
      </c>
      <c r="Z174" s="3"/>
      <c r="AB174" s="3" t="str">
        <f t="shared" si="37"/>
        <v/>
      </c>
      <c r="AC174" s="3"/>
      <c r="AE174" s="3">
        <f t="shared" si="38"/>
        <v>168</v>
      </c>
      <c r="AF174" s="3" t="str">
        <v>Staff: Mamoru Kanbe (Episode Director (eps 6, 11))</v>
      </c>
      <c r="AH174" s="3">
        <f t="shared" si="29"/>
        <v>168</v>
      </c>
      <c r="AI174" s="3" t="str">
        <v>Staff Role: Episode Director (OP, ep 13)</v>
      </c>
    </row>
    <row r="175" spans="1:35" x14ac:dyDescent="0.3">
      <c r="A175" t="s">
        <v>42</v>
      </c>
      <c r="B175" s="5">
        <v>70</v>
      </c>
      <c r="C175" s="9">
        <v>6</v>
      </c>
      <c r="D175" s="6">
        <v>8.4328882642304998E-4</v>
      </c>
      <c r="E175" s="7">
        <v>5.90302178496135E-2</v>
      </c>
      <c r="G175" s="3" t="str">
        <f t="shared" si="30"/>
        <v/>
      </c>
      <c r="H175" s="3"/>
      <c r="J175" s="3">
        <f t="shared" si="31"/>
        <v>169</v>
      </c>
      <c r="K175" s="3" t="str">
        <v>Tag: Oiran</v>
      </c>
      <c r="M175" s="3">
        <f t="shared" si="32"/>
        <v>169</v>
      </c>
      <c r="N175" s="3" t="str">
        <v>Studio: KYORAKU</v>
      </c>
      <c r="P175" s="3" t="str">
        <f t="shared" si="33"/>
        <v/>
      </c>
      <c r="Q175" s="3"/>
      <c r="S175" s="3" t="str">
        <f t="shared" si="34"/>
        <v/>
      </c>
      <c r="T175" s="3"/>
      <c r="V175" s="3" t="str">
        <f t="shared" si="35"/>
        <v/>
      </c>
      <c r="W175" s="3"/>
      <c r="Y175" s="3" t="str">
        <f t="shared" si="36"/>
        <v/>
      </c>
      <c r="Z175" s="3"/>
      <c r="AB175" s="3" t="str">
        <f t="shared" si="37"/>
        <v/>
      </c>
      <c r="AC175" s="3"/>
      <c r="AE175" s="3">
        <f t="shared" si="38"/>
        <v>169</v>
      </c>
      <c r="AF175" s="3" t="str">
        <v>Staff: Mamoru Kanbe (Storyboard (eps 6, 7, 11))</v>
      </c>
      <c r="AH175" s="3">
        <f t="shared" si="29"/>
        <v>169</v>
      </c>
      <c r="AI175" s="3" t="str">
        <v>Staff Role: Storyboard (eps 2, 8, 10)</v>
      </c>
    </row>
    <row r="176" spans="1:35" x14ac:dyDescent="0.3">
      <c r="A176" t="s">
        <v>284</v>
      </c>
      <c r="B176" s="5">
        <v>70</v>
      </c>
      <c r="C176" s="9">
        <v>6</v>
      </c>
      <c r="D176" s="6">
        <v>8.4328882642304998E-4</v>
      </c>
      <c r="E176" s="7">
        <v>5.90302178496135E-2</v>
      </c>
      <c r="G176" s="3" t="str">
        <f t="shared" si="30"/>
        <v/>
      </c>
      <c r="H176" s="3"/>
      <c r="J176" s="3">
        <f t="shared" si="31"/>
        <v>170</v>
      </c>
      <c r="K176" s="3" t="str">
        <v>Tag: Pirates</v>
      </c>
      <c r="M176" s="3">
        <f t="shared" si="32"/>
        <v>170</v>
      </c>
      <c r="N176" s="3" t="str">
        <v>Studio: P.A. Works</v>
      </c>
      <c r="P176" s="3" t="str">
        <f t="shared" si="33"/>
        <v/>
      </c>
      <c r="Q176" s="3"/>
      <c r="S176" s="3" t="str">
        <f t="shared" si="34"/>
        <v/>
      </c>
      <c r="T176" s="3"/>
      <c r="V176" s="3" t="str">
        <f t="shared" si="35"/>
        <v/>
      </c>
      <c r="W176" s="3"/>
      <c r="Y176" s="3" t="str">
        <f t="shared" si="36"/>
        <v/>
      </c>
      <c r="Z176" s="3"/>
      <c r="AB176" s="3" t="str">
        <f t="shared" si="37"/>
        <v/>
      </c>
      <c r="AC176" s="3"/>
      <c r="AE176" s="3">
        <f t="shared" si="38"/>
        <v>170</v>
      </c>
      <c r="AF176" s="3" t="str">
        <v>Staff: Kazuhiko Seki (Editing)</v>
      </c>
      <c r="AH176" s="3">
        <f t="shared" si="29"/>
        <v>170</v>
      </c>
      <c r="AI176" s="3" t="str">
        <v>Staff Role: Animation Director (eps 1, 5, 12)</v>
      </c>
    </row>
    <row r="177" spans="1:35" x14ac:dyDescent="0.3">
      <c r="A177" t="s">
        <v>306</v>
      </c>
      <c r="B177" s="5">
        <v>70</v>
      </c>
      <c r="C177" s="9">
        <v>6</v>
      </c>
      <c r="D177" s="6">
        <v>8.4328882642304998E-4</v>
      </c>
      <c r="E177" s="7">
        <v>5.90302178496135E-2</v>
      </c>
      <c r="G177" s="3" t="str">
        <f t="shared" si="30"/>
        <v/>
      </c>
      <c r="H177" s="3"/>
      <c r="J177" s="3">
        <f t="shared" si="31"/>
        <v>171</v>
      </c>
      <c r="K177" s="3" t="str">
        <v>Tag: Necromancy</v>
      </c>
      <c r="M177" s="3">
        <f t="shared" si="32"/>
        <v>171</v>
      </c>
      <c r="N177" s="3" t="str">
        <v>Studio: Nagoya Broadcasting Network</v>
      </c>
      <c r="P177" s="3" t="str">
        <f t="shared" si="33"/>
        <v/>
      </c>
      <c r="Q177" s="3"/>
      <c r="S177" s="3" t="str">
        <f t="shared" si="34"/>
        <v/>
      </c>
      <c r="T177" s="3"/>
      <c r="V177" s="3" t="str">
        <f t="shared" si="35"/>
        <v/>
      </c>
      <c r="W177" s="3"/>
      <c r="Y177" s="3" t="str">
        <f t="shared" si="36"/>
        <v/>
      </c>
      <c r="Z177" s="3"/>
      <c r="AB177" s="3" t="str">
        <f t="shared" si="37"/>
        <v/>
      </c>
      <c r="AC177" s="3"/>
      <c r="AE177" s="3">
        <f t="shared" si="38"/>
        <v>171</v>
      </c>
      <c r="AF177" s="3" t="str">
        <v>Staff: Harume Kosaka (Episode Director (ep 10))</v>
      </c>
      <c r="AH177" s="3">
        <f t="shared" si="29"/>
        <v>171</v>
      </c>
      <c r="AI177" s="3" t="str">
        <v>Staff Role: Storyboard (eps 7, 12)</v>
      </c>
    </row>
    <row r="178" spans="1:35" x14ac:dyDescent="0.3">
      <c r="A178" t="s">
        <v>76</v>
      </c>
      <c r="B178" s="5">
        <v>82</v>
      </c>
      <c r="C178" s="9">
        <v>5</v>
      </c>
      <c r="D178" s="6">
        <v>7.0274068868587405E-4</v>
      </c>
      <c r="E178" s="7">
        <v>5.76247364722417E-2</v>
      </c>
      <c r="G178" s="3" t="str">
        <f t="shared" si="30"/>
        <v/>
      </c>
      <c r="H178" s="3"/>
      <c r="J178" s="3">
        <f t="shared" si="31"/>
        <v>172</v>
      </c>
      <c r="K178" s="3" t="str">
        <v>Tag: Scuba Diving</v>
      </c>
      <c r="M178" s="3">
        <f t="shared" si="32"/>
        <v>172</v>
      </c>
      <c r="N178" s="3" t="str">
        <v>Studio: Visual Arts</v>
      </c>
      <c r="P178" s="3" t="str">
        <f t="shared" si="33"/>
        <v/>
      </c>
      <c r="Q178" s="3"/>
      <c r="S178" s="3" t="str">
        <f t="shared" si="34"/>
        <v/>
      </c>
      <c r="T178" s="3"/>
      <c r="V178" s="3" t="str">
        <f t="shared" si="35"/>
        <v/>
      </c>
      <c r="W178" s="3"/>
      <c r="Y178" s="3" t="str">
        <f t="shared" si="36"/>
        <v/>
      </c>
      <c r="Z178" s="3"/>
      <c r="AB178" s="3" t="str">
        <f t="shared" si="37"/>
        <v/>
      </c>
      <c r="AC178" s="3"/>
      <c r="AE178" s="3">
        <f t="shared" si="38"/>
        <v>172</v>
      </c>
      <c r="AF178" s="3" t="str">
        <v>Staff: Akira Itou (Art Director)</v>
      </c>
      <c r="AH178" s="3">
        <f t="shared" si="29"/>
        <v>172</v>
      </c>
      <c r="AI178" s="3" t="str">
        <v>Staff Role: Episode Director (eps 9, 10)</v>
      </c>
    </row>
    <row r="179" spans="1:35" x14ac:dyDescent="0.3">
      <c r="A179" t="s">
        <v>107</v>
      </c>
      <c r="B179" s="5">
        <v>82</v>
      </c>
      <c r="C179" s="9">
        <v>5</v>
      </c>
      <c r="D179" s="6">
        <v>7.0274068868587405E-4</v>
      </c>
      <c r="E179" s="7">
        <v>5.76247364722417E-2</v>
      </c>
      <c r="G179" s="3" t="str">
        <f t="shared" si="30"/>
        <v/>
      </c>
      <c r="H179" s="3"/>
      <c r="J179" s="3">
        <f t="shared" si="31"/>
        <v>173</v>
      </c>
      <c r="K179" s="3" t="str">
        <v>Tag: Card Battle</v>
      </c>
      <c r="M179" s="3">
        <f t="shared" si="32"/>
        <v>173</v>
      </c>
      <c r="N179" s="3" t="str">
        <v>Studio: Tear-Studio</v>
      </c>
      <c r="P179" s="3" t="str">
        <f t="shared" si="33"/>
        <v/>
      </c>
      <c r="Q179" s="3"/>
      <c r="S179" s="3" t="str">
        <f t="shared" si="34"/>
        <v/>
      </c>
      <c r="T179" s="3"/>
      <c r="V179" s="3" t="str">
        <f t="shared" si="35"/>
        <v/>
      </c>
      <c r="W179" s="3"/>
      <c r="Y179" s="3" t="str">
        <f t="shared" si="36"/>
        <v/>
      </c>
      <c r="Z179" s="3"/>
      <c r="AB179" s="3" t="str">
        <f t="shared" si="37"/>
        <v/>
      </c>
      <c r="AC179" s="3"/>
      <c r="AE179" s="3">
        <f t="shared" si="38"/>
        <v>173</v>
      </c>
      <c r="AF179" s="3" t="str">
        <v>Staff: Jun Kawagoe (Episode Director (ep 12))</v>
      </c>
      <c r="AH179" s="3">
        <f t="shared" si="29"/>
        <v>173</v>
      </c>
      <c r="AI179" s="3" t="str">
        <v>Staff Role: Animation Director (eps 10, 12)</v>
      </c>
    </row>
    <row r="180" spans="1:35" x14ac:dyDescent="0.3">
      <c r="A180" t="s">
        <v>105</v>
      </c>
      <c r="B180" s="5">
        <v>80</v>
      </c>
      <c r="C180" s="9">
        <v>5</v>
      </c>
      <c r="D180" s="6">
        <v>7.0274068868587405E-4</v>
      </c>
      <c r="E180" s="7">
        <v>5.6219255094869899E-2</v>
      </c>
      <c r="G180" s="3" t="str">
        <f t="shared" si="30"/>
        <v/>
      </c>
      <c r="H180" s="3"/>
      <c r="J180" s="3">
        <f t="shared" si="31"/>
        <v>174</v>
      </c>
      <c r="K180" s="3" t="str">
        <v>Tag: Dullahan</v>
      </c>
      <c r="M180" s="3" t="str">
        <f t="shared" si="32"/>
        <v/>
      </c>
      <c r="N180" s="3"/>
      <c r="P180" s="3" t="str">
        <f t="shared" si="33"/>
        <v/>
      </c>
      <c r="Q180" s="3"/>
      <c r="S180" s="3" t="str">
        <f t="shared" si="34"/>
        <v/>
      </c>
      <c r="T180" s="3"/>
      <c r="V180" s="3" t="str">
        <f t="shared" si="35"/>
        <v/>
      </c>
      <c r="W180" s="3"/>
      <c r="Y180" s="3" t="str">
        <f t="shared" si="36"/>
        <v/>
      </c>
      <c r="Z180" s="3"/>
      <c r="AB180" s="3" t="str">
        <f t="shared" si="37"/>
        <v/>
      </c>
      <c r="AC180" s="3"/>
      <c r="AE180" s="3">
        <f t="shared" si="38"/>
        <v>174</v>
      </c>
      <c r="AF180" s="3" t="str">
        <v>Staff: Tyler Walker (ADR Director (English))</v>
      </c>
      <c r="AH180" s="3">
        <f t="shared" si="29"/>
        <v>174</v>
      </c>
      <c r="AI180" s="3" t="str">
        <v>Staff Role: Assistant Animation Director (eps 7, 11)</v>
      </c>
    </row>
    <row r="181" spans="1:35" x14ac:dyDescent="0.3">
      <c r="A181" t="s">
        <v>117</v>
      </c>
      <c r="B181" s="5">
        <v>80</v>
      </c>
      <c r="C181" s="9">
        <v>5</v>
      </c>
      <c r="D181" s="6">
        <v>7.0274068868587405E-4</v>
      </c>
      <c r="E181" s="7">
        <v>5.6219255094869899E-2</v>
      </c>
      <c r="G181" s="3" t="str">
        <f t="shared" si="30"/>
        <v/>
      </c>
      <c r="H181" s="3"/>
      <c r="J181" s="3">
        <f t="shared" si="31"/>
        <v>175</v>
      </c>
      <c r="K181" s="3" t="str">
        <v>Tag: POV</v>
      </c>
      <c r="M181" s="3" t="str">
        <f t="shared" si="32"/>
        <v/>
      </c>
      <c r="N181" s="3"/>
      <c r="P181" s="3" t="str">
        <f t="shared" si="33"/>
        <v/>
      </c>
      <c r="Q181" s="3"/>
      <c r="S181" s="3" t="str">
        <f t="shared" si="34"/>
        <v/>
      </c>
      <c r="T181" s="3"/>
      <c r="V181" s="3" t="str">
        <f t="shared" si="35"/>
        <v/>
      </c>
      <c r="W181" s="3"/>
      <c r="Y181" s="3" t="str">
        <f t="shared" si="36"/>
        <v/>
      </c>
      <c r="Z181" s="3"/>
      <c r="AB181" s="3" t="str">
        <f t="shared" si="37"/>
        <v/>
      </c>
      <c r="AC181" s="3"/>
      <c r="AE181" s="3">
        <f t="shared" si="38"/>
        <v>175</v>
      </c>
      <c r="AF181" s="3" t="str">
        <v>Staff: Kiyotaka Oohata (Storyboard (eps 2, 8, 10))</v>
      </c>
      <c r="AH181" s="3">
        <f t="shared" si="29"/>
        <v>175</v>
      </c>
      <c r="AI181" s="3" t="str">
        <v>Staff Role: In-Between Animation (ep 6)</v>
      </c>
    </row>
    <row r="182" spans="1:35" x14ac:dyDescent="0.3">
      <c r="A182" t="s">
        <v>139</v>
      </c>
      <c r="B182" s="5">
        <v>80</v>
      </c>
      <c r="C182" s="9">
        <v>5</v>
      </c>
      <c r="D182" s="6">
        <v>7.0274068868587405E-4</v>
      </c>
      <c r="E182" s="7">
        <v>5.6219255094869899E-2</v>
      </c>
      <c r="G182" s="3" t="str">
        <f t="shared" si="30"/>
        <v/>
      </c>
      <c r="H182" s="3"/>
      <c r="J182" s="3">
        <f t="shared" si="31"/>
        <v>176</v>
      </c>
      <c r="K182" s="3" t="str">
        <v>Tag: Circus</v>
      </c>
      <c r="M182" s="3" t="str">
        <f t="shared" si="32"/>
        <v/>
      </c>
      <c r="N182" s="3"/>
      <c r="P182" s="3" t="str">
        <f t="shared" si="33"/>
        <v/>
      </c>
      <c r="Q182" s="3"/>
      <c r="S182" s="3" t="str">
        <f t="shared" si="34"/>
        <v/>
      </c>
      <c r="T182" s="3"/>
      <c r="V182" s="3" t="str">
        <f t="shared" si="35"/>
        <v/>
      </c>
      <c r="W182" s="3"/>
      <c r="Y182" s="3" t="str">
        <f t="shared" si="36"/>
        <v/>
      </c>
      <c r="Z182" s="3"/>
      <c r="AB182" s="3" t="str">
        <f t="shared" si="37"/>
        <v/>
      </c>
      <c r="AC182" s="3"/>
      <c r="AE182" s="3">
        <f t="shared" si="38"/>
        <v>176</v>
      </c>
      <c r="AF182" s="3" t="str">
        <v>Staff: Kiyotaka Oohata (Episode Director (ep 8))</v>
      </c>
      <c r="AH182" s="3">
        <f t="shared" si="29"/>
        <v>176</v>
      </c>
      <c r="AI182" s="3" t="str">
        <v>Staff Role: Script (eps 1-3, 7-9, 12, 14, 17, 19, 30, 32, 40, 46, 53, 55, 56, 58-64)</v>
      </c>
    </row>
    <row r="183" spans="1:35" x14ac:dyDescent="0.3">
      <c r="A183" t="s">
        <v>177</v>
      </c>
      <c r="B183" s="5">
        <v>80</v>
      </c>
      <c r="C183" s="9">
        <v>5</v>
      </c>
      <c r="D183" s="6">
        <v>7.0274068868587405E-4</v>
      </c>
      <c r="E183" s="7">
        <v>5.6219255094869899E-2</v>
      </c>
      <c r="G183" s="3" t="str">
        <f t="shared" si="30"/>
        <v/>
      </c>
      <c r="H183" s="3"/>
      <c r="J183" s="3">
        <f t="shared" si="31"/>
        <v>177</v>
      </c>
      <c r="K183" s="3" t="str">
        <v>Tag: Medicine</v>
      </c>
      <c r="M183" s="3" t="str">
        <f t="shared" si="32"/>
        <v/>
      </c>
      <c r="N183" s="3"/>
      <c r="P183" s="3" t="str">
        <f t="shared" si="33"/>
        <v/>
      </c>
      <c r="Q183" s="3"/>
      <c r="S183" s="3" t="str">
        <f t="shared" si="34"/>
        <v/>
      </c>
      <c r="T183" s="3"/>
      <c r="V183" s="3" t="str">
        <f t="shared" si="35"/>
        <v/>
      </c>
      <c r="W183" s="3"/>
      <c r="Y183" s="3" t="str">
        <f t="shared" si="36"/>
        <v/>
      </c>
      <c r="Z183" s="3"/>
      <c r="AB183" s="3" t="str">
        <f t="shared" si="37"/>
        <v/>
      </c>
      <c r="AC183" s="3"/>
      <c r="AE183" s="3">
        <f t="shared" si="38"/>
        <v>177</v>
      </c>
      <c r="AF183" s="3" t="str">
        <v>Staff: Masaki Tachibana (Director)</v>
      </c>
      <c r="AH183" s="3">
        <f t="shared" si="29"/>
        <v>177</v>
      </c>
      <c r="AI183" s="3" t="str">
        <v>Staff Role: Theme Song Performance (ED5)</v>
      </c>
    </row>
    <row r="184" spans="1:35" x14ac:dyDescent="0.3">
      <c r="A184" t="s">
        <v>524</v>
      </c>
      <c r="B184" s="5">
        <v>78</v>
      </c>
      <c r="C184" s="9">
        <v>5</v>
      </c>
      <c r="D184" s="6">
        <v>7.0274068868587405E-4</v>
      </c>
      <c r="E184" s="7">
        <v>5.4813773717498203E-2</v>
      </c>
      <c r="G184" s="3" t="str">
        <f t="shared" si="30"/>
        <v/>
      </c>
      <c r="H184" s="3"/>
      <c r="J184" s="3">
        <f t="shared" si="31"/>
        <v>178</v>
      </c>
      <c r="K184" s="3" t="str">
        <v>Tag: Swimming</v>
      </c>
      <c r="M184" s="3" t="str">
        <f t="shared" si="32"/>
        <v/>
      </c>
      <c r="N184" s="3"/>
      <c r="P184" s="3" t="str">
        <f t="shared" si="33"/>
        <v/>
      </c>
      <c r="Q184" s="3"/>
      <c r="S184" s="3" t="str">
        <f t="shared" si="34"/>
        <v/>
      </c>
      <c r="T184" s="3"/>
      <c r="V184" s="3" t="str">
        <f t="shared" si="35"/>
        <v/>
      </c>
      <c r="W184" s="3"/>
      <c r="Y184" s="3" t="str">
        <f t="shared" si="36"/>
        <v/>
      </c>
      <c r="Z184" s="3"/>
      <c r="AB184" s="3" t="str">
        <f t="shared" si="37"/>
        <v/>
      </c>
      <c r="AC184" s="3"/>
      <c r="AE184" s="3">
        <f t="shared" si="38"/>
        <v>178</v>
      </c>
      <c r="AF184" s="3" t="str">
        <v>Staff: Satsuki Yoshino (Original Creator)</v>
      </c>
      <c r="AH184" s="3">
        <f t="shared" si="29"/>
        <v>178</v>
      </c>
      <c r="AI184" s="3" t="str">
        <v>Staff Role: Theme Song Composition (OP1)</v>
      </c>
    </row>
    <row r="185" spans="1:35" x14ac:dyDescent="0.3">
      <c r="A185" t="s">
        <v>121</v>
      </c>
      <c r="B185" s="5">
        <v>76</v>
      </c>
      <c r="C185" s="9">
        <v>5</v>
      </c>
      <c r="D185" s="6">
        <v>7.0274068868587405E-4</v>
      </c>
      <c r="E185" s="7">
        <v>5.3408292340126402E-2</v>
      </c>
      <c r="G185" s="3" t="str">
        <f t="shared" si="30"/>
        <v/>
      </c>
      <c r="H185" s="3"/>
      <c r="J185" s="3">
        <f t="shared" si="31"/>
        <v>179</v>
      </c>
      <c r="K185" s="3" t="str">
        <v>Tag: Kaiju</v>
      </c>
      <c r="M185" s="3" t="str">
        <f t="shared" si="32"/>
        <v/>
      </c>
      <c r="N185" s="3"/>
      <c r="P185" s="3" t="str">
        <f t="shared" si="33"/>
        <v/>
      </c>
      <c r="Q185" s="3"/>
      <c r="S185" s="3" t="str">
        <f t="shared" si="34"/>
        <v/>
      </c>
      <c r="T185" s="3"/>
      <c r="V185" s="3" t="str">
        <f t="shared" si="35"/>
        <v/>
      </c>
      <c r="W185" s="3"/>
      <c r="Y185" s="3" t="str">
        <f t="shared" si="36"/>
        <v/>
      </c>
      <c r="Z185" s="3"/>
      <c r="AB185" s="3" t="str">
        <f t="shared" si="37"/>
        <v/>
      </c>
      <c r="AC185" s="3"/>
      <c r="AE185" s="3">
        <f t="shared" si="38"/>
        <v>179</v>
      </c>
      <c r="AF185" s="3" t="str">
        <v>Staff: SUPER BEAVER (Theme Song Performance (OP))</v>
      </c>
      <c r="AH185" s="3">
        <f t="shared" si="29"/>
        <v>179</v>
      </c>
      <c r="AI185" s="3" t="str">
        <v>Staff Role: Key Animation (eps 1, 20)</v>
      </c>
    </row>
    <row r="186" spans="1:35" x14ac:dyDescent="0.3">
      <c r="A186" t="s">
        <v>160</v>
      </c>
      <c r="B186" s="5">
        <v>76</v>
      </c>
      <c r="C186" s="9">
        <v>5</v>
      </c>
      <c r="D186" s="6">
        <v>7.0274068868587405E-4</v>
      </c>
      <c r="E186" s="7">
        <v>5.3408292340126402E-2</v>
      </c>
      <c r="G186" s="3" t="str">
        <f t="shared" si="30"/>
        <v/>
      </c>
      <c r="H186" s="3"/>
      <c r="J186" s="3">
        <f t="shared" si="31"/>
        <v>180</v>
      </c>
      <c r="K186" s="3" t="str">
        <v>Tag: Asexual</v>
      </c>
      <c r="M186" s="3" t="str">
        <f t="shared" si="32"/>
        <v/>
      </c>
      <c r="N186" s="3"/>
      <c r="P186" s="3" t="str">
        <f t="shared" si="33"/>
        <v/>
      </c>
      <c r="Q186" s="3"/>
      <c r="S186" s="3" t="str">
        <f t="shared" si="34"/>
        <v/>
      </c>
      <c r="T186" s="3"/>
      <c r="V186" s="3" t="str">
        <f t="shared" si="35"/>
        <v/>
      </c>
      <c r="W186" s="3"/>
      <c r="Y186" s="3" t="str">
        <f t="shared" si="36"/>
        <v/>
      </c>
      <c r="Z186" s="3"/>
      <c r="AB186" s="3" t="str">
        <f t="shared" si="37"/>
        <v/>
      </c>
      <c r="AC186" s="3"/>
      <c r="AE186" s="3">
        <f t="shared" si="38"/>
        <v>180</v>
      </c>
      <c r="AF186" s="3" t="str">
        <v>Staff: NoisyCell (Theme Song Performance (ED))</v>
      </c>
      <c r="AH186" s="3">
        <f t="shared" si="29"/>
        <v>180</v>
      </c>
      <c r="AI186" s="3" t="str">
        <v>Staff Role: Key Animation (ep 33)</v>
      </c>
    </row>
    <row r="187" spans="1:35" x14ac:dyDescent="0.3">
      <c r="A187" t="s">
        <v>382</v>
      </c>
      <c r="B187" s="5">
        <v>76</v>
      </c>
      <c r="C187" s="9">
        <v>5</v>
      </c>
      <c r="D187" s="6">
        <v>7.0274068868587405E-4</v>
      </c>
      <c r="E187" s="7">
        <v>5.3408292340126402E-2</v>
      </c>
      <c r="G187" s="3" t="str">
        <f t="shared" si="30"/>
        <v/>
      </c>
      <c r="H187" s="3"/>
      <c r="J187" s="3">
        <f t="shared" si="31"/>
        <v>181</v>
      </c>
      <c r="K187" s="3" t="str">
        <v>Tag: Espionage</v>
      </c>
      <c r="M187" s="3" t="str">
        <f t="shared" si="32"/>
        <v/>
      </c>
      <c r="N187" s="3"/>
      <c r="P187" s="3" t="str">
        <f t="shared" si="33"/>
        <v/>
      </c>
      <c r="Q187" s="3"/>
      <c r="S187" s="3" t="str">
        <f t="shared" si="34"/>
        <v/>
      </c>
      <c r="T187" s="3"/>
      <c r="V187" s="3" t="str">
        <f t="shared" si="35"/>
        <v/>
      </c>
      <c r="W187" s="3"/>
      <c r="Y187" s="3" t="str">
        <f t="shared" si="36"/>
        <v/>
      </c>
      <c r="Z187" s="3"/>
      <c r="AB187" s="3" t="str">
        <f t="shared" si="37"/>
        <v/>
      </c>
      <c r="AC187" s="3"/>
      <c r="AE187" s="3">
        <f t="shared" si="38"/>
        <v>181</v>
      </c>
      <c r="AF187" s="3" t="str">
        <v>Staff: Majiro  (Character Design)</v>
      </c>
      <c r="AH187" s="3">
        <f t="shared" si="29"/>
        <v>181</v>
      </c>
      <c r="AI187" s="3" t="str">
        <v>Staff Role: Animation Director (eps 10, 52, 60, 62, 64)</v>
      </c>
    </row>
    <row r="188" spans="1:35" x14ac:dyDescent="0.3">
      <c r="A188" t="s">
        <v>691</v>
      </c>
      <c r="B188" s="5">
        <v>76</v>
      </c>
      <c r="C188" s="9">
        <v>5</v>
      </c>
      <c r="D188" s="6">
        <v>7.0274068868587405E-4</v>
      </c>
      <c r="E188" s="7">
        <v>5.3408292340126402E-2</v>
      </c>
      <c r="G188" s="3" t="str">
        <f t="shared" si="30"/>
        <v/>
      </c>
      <c r="H188" s="3"/>
      <c r="J188" s="3">
        <f t="shared" si="31"/>
        <v>182</v>
      </c>
      <c r="K188" s="3" t="str">
        <v>Tag: Josei</v>
      </c>
      <c r="M188" s="3" t="str">
        <f t="shared" si="32"/>
        <v/>
      </c>
      <c r="N188" s="3"/>
      <c r="P188" s="3" t="str">
        <f t="shared" si="33"/>
        <v/>
      </c>
      <c r="Q188" s="3"/>
      <c r="S188" s="3" t="str">
        <f t="shared" si="34"/>
        <v/>
      </c>
      <c r="T188" s="3"/>
      <c r="V188" s="3" t="str">
        <f t="shared" si="35"/>
        <v/>
      </c>
      <c r="W188" s="3"/>
      <c r="Y188" s="3" t="str">
        <f t="shared" si="36"/>
        <v/>
      </c>
      <c r="Z188" s="3"/>
      <c r="AB188" s="3" t="str">
        <f t="shared" si="37"/>
        <v/>
      </c>
      <c r="AC188" s="3"/>
      <c r="AE188" s="3">
        <f t="shared" si="38"/>
        <v>182</v>
      </c>
      <c r="AF188" s="3" t="str">
        <v>Staff: Hiroshi Katou (Art Director)</v>
      </c>
      <c r="AH188" s="3">
        <f t="shared" si="29"/>
        <v>182</v>
      </c>
      <c r="AI188" s="3" t="str">
        <v>Staff Role: Storyboard (OP1, ED2, ED4, ED5, eps 1, 2, 5, 8, 63, 64)</v>
      </c>
    </row>
    <row r="189" spans="1:35" x14ac:dyDescent="0.3">
      <c r="A189" t="str">
        <f>HYPERLINK("https://anilist.co/staff/119975","Staff: Kenichirou Suehiro (Music)")</f>
        <v>Staff: Kenichirou Suehiro (Music)</v>
      </c>
      <c r="B189" s="5">
        <v>76</v>
      </c>
      <c r="C189" s="9">
        <v>5</v>
      </c>
      <c r="D189" s="6">
        <v>7.0274068868587405E-4</v>
      </c>
      <c r="E189" s="7">
        <v>5.3408292340126402E-2</v>
      </c>
      <c r="G189" s="3" t="str">
        <f t="shared" si="30"/>
        <v/>
      </c>
      <c r="H189" s="3"/>
      <c r="J189" s="3">
        <f t="shared" si="31"/>
        <v>183</v>
      </c>
      <c r="K189" s="3" t="str">
        <v>Tag: Table Tennis</v>
      </c>
      <c r="M189" s="3" t="str">
        <f t="shared" si="32"/>
        <v/>
      </c>
      <c r="N189" s="3"/>
      <c r="P189" s="3" t="str">
        <f t="shared" si="33"/>
        <v/>
      </c>
      <c r="Q189" s="3"/>
      <c r="S189" s="3" t="str">
        <f t="shared" si="34"/>
        <v/>
      </c>
      <c r="T189" s="3"/>
      <c r="V189" s="3" t="str">
        <f t="shared" si="35"/>
        <v/>
      </c>
      <c r="W189" s="3"/>
      <c r="Y189" s="3" t="str">
        <f t="shared" si="36"/>
        <v/>
      </c>
      <c r="Z189" s="3"/>
      <c r="AB189" s="3" t="str">
        <f t="shared" si="37"/>
        <v/>
      </c>
      <c r="AC189" s="3"/>
      <c r="AE189" s="3">
        <f t="shared" si="38"/>
        <v>183</v>
      </c>
      <c r="AF189" s="3" t="str">
        <v>Staff: Izumi Hoki (Art Director)</v>
      </c>
      <c r="AH189" s="3">
        <f t="shared" si="29"/>
        <v>183</v>
      </c>
      <c r="AI189" s="3" t="str">
        <v>Staff Role: Episode Director (OP1, ep 64)</v>
      </c>
    </row>
    <row r="190" spans="1:35" x14ac:dyDescent="0.3">
      <c r="A190" t="s">
        <v>127</v>
      </c>
      <c r="B190" s="5">
        <v>74</v>
      </c>
      <c r="C190" s="9">
        <v>5</v>
      </c>
      <c r="D190" s="6">
        <v>7.0274068868587405E-4</v>
      </c>
      <c r="E190" s="7">
        <v>5.2002810962754699E-2</v>
      </c>
      <c r="G190" s="3" t="str">
        <f t="shared" si="30"/>
        <v/>
      </c>
      <c r="H190" s="3"/>
      <c r="J190" s="3">
        <f t="shared" si="31"/>
        <v>184</v>
      </c>
      <c r="K190" s="3" t="str">
        <v>Tag: Male Harem</v>
      </c>
      <c r="M190" s="3" t="str">
        <f t="shared" si="32"/>
        <v/>
      </c>
      <c r="N190" s="3"/>
      <c r="P190" s="3" t="str">
        <f t="shared" si="33"/>
        <v/>
      </c>
      <c r="Q190" s="3"/>
      <c r="S190" s="3" t="str">
        <f t="shared" si="34"/>
        <v/>
      </c>
      <c r="T190" s="3"/>
      <c r="V190" s="3" t="str">
        <f t="shared" si="35"/>
        <v/>
      </c>
      <c r="W190" s="3"/>
      <c r="Y190" s="3" t="str">
        <f t="shared" si="36"/>
        <v/>
      </c>
      <c r="Z190" s="3"/>
      <c r="AB190" s="3" t="str">
        <f t="shared" si="37"/>
        <v/>
      </c>
      <c r="AC190" s="3"/>
      <c r="AE190" s="3">
        <f t="shared" si="38"/>
        <v>184</v>
      </c>
      <c r="AF190" s="3" t="str">
        <v>Staff: Kazuhiro Wakabayashi (Sound Director)</v>
      </c>
      <c r="AH190" s="3">
        <f t="shared" si="29"/>
        <v>184</v>
      </c>
      <c r="AI190" s="3" t="str">
        <v>Staff Role: Storyboard  (ep 7)</v>
      </c>
    </row>
    <row r="191" spans="1:35" x14ac:dyDescent="0.3">
      <c r="A191" t="s">
        <v>183</v>
      </c>
      <c r="B191" s="5">
        <v>74</v>
      </c>
      <c r="C191" s="9">
        <v>5</v>
      </c>
      <c r="D191" s="6">
        <v>7.0274068868587405E-4</v>
      </c>
      <c r="E191" s="7">
        <v>5.2002810962754699E-2</v>
      </c>
      <c r="G191" s="3" t="str">
        <f t="shared" si="30"/>
        <v/>
      </c>
      <c r="H191" s="3"/>
      <c r="J191" s="3">
        <f t="shared" si="31"/>
        <v>185</v>
      </c>
      <c r="K191" s="3" t="str">
        <v>Tag: Death Game</v>
      </c>
      <c r="M191" s="3" t="str">
        <f t="shared" si="32"/>
        <v/>
      </c>
      <c r="N191" s="3"/>
      <c r="P191" s="3" t="str">
        <f t="shared" si="33"/>
        <v/>
      </c>
      <c r="Q191" s="3"/>
      <c r="S191" s="3" t="str">
        <f t="shared" si="34"/>
        <v/>
      </c>
      <c r="T191" s="3"/>
      <c r="V191" s="3" t="str">
        <f t="shared" si="35"/>
        <v/>
      </c>
      <c r="W191" s="3"/>
      <c r="Y191" s="3" t="str">
        <f t="shared" si="36"/>
        <v/>
      </c>
      <c r="Z191" s="3"/>
      <c r="AB191" s="3" t="str">
        <f t="shared" si="37"/>
        <v/>
      </c>
      <c r="AC191" s="3"/>
      <c r="AE191" s="3">
        <f t="shared" si="38"/>
        <v>185</v>
      </c>
      <c r="AF191" s="3" t="str">
        <v>Staff: Hideki Itou (Animation Director (ep 5))</v>
      </c>
      <c r="AH191" s="3">
        <f t="shared" si="29"/>
        <v>185</v>
      </c>
      <c r="AI191" s="3" t="str">
        <v>Staff Role: Key Animation (OP2)</v>
      </c>
    </row>
    <row r="192" spans="1:35" x14ac:dyDescent="0.3">
      <c r="A192" t="s">
        <v>323</v>
      </c>
      <c r="B192" s="5">
        <v>74</v>
      </c>
      <c r="C192" s="9">
        <v>5</v>
      </c>
      <c r="D192" s="6">
        <v>7.0274068868587405E-4</v>
      </c>
      <c r="E192" s="7">
        <v>5.2002810962754699E-2</v>
      </c>
      <c r="G192" s="3" t="str">
        <f t="shared" si="30"/>
        <v/>
      </c>
      <c r="H192" s="3"/>
      <c r="J192" s="3">
        <f t="shared" si="31"/>
        <v>186</v>
      </c>
      <c r="K192" s="3" t="str">
        <v>Tag: Augmented Reality</v>
      </c>
      <c r="M192" s="3" t="str">
        <f t="shared" si="32"/>
        <v/>
      </c>
      <c r="N192" s="3"/>
      <c r="P192" s="3" t="str">
        <f t="shared" si="33"/>
        <v/>
      </c>
      <c r="Q192" s="3"/>
      <c r="S192" s="3" t="str">
        <f t="shared" si="34"/>
        <v/>
      </c>
      <c r="T192" s="3"/>
      <c r="V192" s="3" t="str">
        <f t="shared" si="35"/>
        <v/>
      </c>
      <c r="W192" s="3"/>
      <c r="Y192" s="3" t="str">
        <f t="shared" si="36"/>
        <v/>
      </c>
      <c r="Z192" s="3"/>
      <c r="AB192" s="3" t="str">
        <f t="shared" si="37"/>
        <v/>
      </c>
      <c r="AC192" s="3"/>
      <c r="AE192" s="3">
        <f t="shared" si="38"/>
        <v>186</v>
      </c>
      <c r="AF192" s="3" t="str">
        <v>Staff: Majiro  (Chief Animation Director (eps 1-12))</v>
      </c>
      <c r="AH192" s="3">
        <f t="shared" si="29"/>
        <v>186</v>
      </c>
      <c r="AI192" s="3" t="str">
        <v>Staff Role: Theme Song Performance (OP5)</v>
      </c>
    </row>
    <row r="193" spans="1:35" x14ac:dyDescent="0.3">
      <c r="A193" t="s">
        <v>669</v>
      </c>
      <c r="B193" s="5">
        <v>74</v>
      </c>
      <c r="C193" s="9">
        <v>5</v>
      </c>
      <c r="D193" s="6">
        <v>7.0274068868587405E-4</v>
      </c>
      <c r="E193" s="7">
        <v>5.2002810962754699E-2</v>
      </c>
      <c r="G193" s="3" t="str">
        <f t="shared" si="30"/>
        <v/>
      </c>
      <c r="H193" s="3"/>
      <c r="J193" s="3">
        <f t="shared" si="31"/>
        <v>187</v>
      </c>
      <c r="K193" s="3" t="str">
        <v>Tag: Gambling</v>
      </c>
      <c r="M193" s="3" t="str">
        <f t="shared" si="32"/>
        <v/>
      </c>
      <c r="N193" s="3"/>
      <c r="P193" s="3" t="str">
        <f t="shared" si="33"/>
        <v/>
      </c>
      <c r="Q193" s="3"/>
      <c r="S193" s="3" t="str">
        <f t="shared" si="34"/>
        <v/>
      </c>
      <c r="T193" s="3"/>
      <c r="V193" s="3" t="str">
        <f t="shared" si="35"/>
        <v/>
      </c>
      <c r="W193" s="3"/>
      <c r="Y193" s="3" t="str">
        <f t="shared" si="36"/>
        <v/>
      </c>
      <c r="Z193" s="3"/>
      <c r="AB193" s="3" t="str">
        <f t="shared" si="37"/>
        <v/>
      </c>
      <c r="AC193" s="3"/>
      <c r="AE193" s="3">
        <f t="shared" si="38"/>
        <v>187</v>
      </c>
      <c r="AF193" s="3" t="str">
        <v>Staff: Majiro  (Animation Director (eps 1, 5, 12))</v>
      </c>
      <c r="AH193" s="3">
        <f t="shared" si="29"/>
        <v>187</v>
      </c>
      <c r="AI193" s="3" t="str">
        <v>Staff Role: Theme Song Arrangement (OP5)</v>
      </c>
    </row>
    <row r="194" spans="1:35" x14ac:dyDescent="0.3">
      <c r="A194" t="str">
        <f>HYPERLINK("https://anilist.co/staff/118429","Staff: Masanori Tsuchiya (Sound Director)")</f>
        <v>Staff: Masanori Tsuchiya (Sound Director)</v>
      </c>
      <c r="B194" s="5">
        <v>74</v>
      </c>
      <c r="C194" s="9">
        <v>5</v>
      </c>
      <c r="D194" s="6">
        <v>7.0274068868587405E-4</v>
      </c>
      <c r="E194" s="7">
        <v>5.2002810962754699E-2</v>
      </c>
      <c r="G194" s="3" t="str">
        <f t="shared" si="30"/>
        <v/>
      </c>
      <c r="H194" s="3"/>
      <c r="J194" s="3">
        <f t="shared" si="31"/>
        <v>188</v>
      </c>
      <c r="K194" s="3" t="str">
        <v>Tag: Aviation</v>
      </c>
      <c r="M194" s="3" t="str">
        <f t="shared" si="32"/>
        <v/>
      </c>
      <c r="N194" s="3"/>
      <c r="P194" s="3" t="str">
        <f t="shared" si="33"/>
        <v/>
      </c>
      <c r="Q194" s="3"/>
      <c r="S194" s="3" t="str">
        <f t="shared" si="34"/>
        <v/>
      </c>
      <c r="T194" s="3"/>
      <c r="V194" s="3" t="str">
        <f t="shared" si="35"/>
        <v/>
      </c>
      <c r="W194" s="3"/>
      <c r="Y194" s="3" t="str">
        <f t="shared" si="36"/>
        <v/>
      </c>
      <c r="Z194" s="3"/>
      <c r="AB194" s="3" t="str">
        <f t="shared" si="37"/>
        <v/>
      </c>
      <c r="AC194" s="3"/>
      <c r="AE194" s="3">
        <f t="shared" si="38"/>
        <v>188</v>
      </c>
      <c r="AF194" s="3" t="str">
        <v>Staff: Shinya Kawatsura (Storyboard (eps 7, 12))</v>
      </c>
      <c r="AH194" s="3">
        <f t="shared" si="29"/>
        <v>188</v>
      </c>
      <c r="AI194" s="3" t="str">
        <v>Staff Role: Script (eps 1-8, 10-12)</v>
      </c>
    </row>
    <row r="195" spans="1:35" x14ac:dyDescent="0.3">
      <c r="A195" t="s">
        <v>67</v>
      </c>
      <c r="B195" s="5">
        <v>72</v>
      </c>
      <c r="C195" s="9">
        <v>5</v>
      </c>
      <c r="D195" s="6">
        <v>7.0274068868587405E-4</v>
      </c>
      <c r="E195" s="7">
        <v>5.0597329585382898E-2</v>
      </c>
      <c r="G195" s="3" t="str">
        <f t="shared" si="30"/>
        <v/>
      </c>
      <c r="H195" s="3"/>
      <c r="J195" s="3">
        <f t="shared" si="31"/>
        <v>189</v>
      </c>
      <c r="K195" s="3" t="str">
        <v>Tag: Rape</v>
      </c>
      <c r="M195" s="3" t="str">
        <f t="shared" si="32"/>
        <v/>
      </c>
      <c r="N195" s="3"/>
      <c r="P195" s="3" t="str">
        <f t="shared" si="33"/>
        <v/>
      </c>
      <c r="Q195" s="3"/>
      <c r="S195" s="3" t="str">
        <f t="shared" si="34"/>
        <v/>
      </c>
      <c r="T195" s="3"/>
      <c r="V195" s="3" t="str">
        <f t="shared" si="35"/>
        <v/>
      </c>
      <c r="W195" s="3"/>
      <c r="Y195" s="3" t="str">
        <f t="shared" si="36"/>
        <v/>
      </c>
      <c r="Z195" s="3"/>
      <c r="AB195" s="3" t="str">
        <f t="shared" si="37"/>
        <v/>
      </c>
      <c r="AC195" s="3"/>
      <c r="AE195" s="3">
        <f t="shared" si="38"/>
        <v>189</v>
      </c>
      <c r="AF195" s="3" t="str">
        <v>Staff: Shinya Kawatsura (Episode Director (ep 7))</v>
      </c>
      <c r="AH195" s="3">
        <f t="shared" si="29"/>
        <v>189</v>
      </c>
      <c r="AI195" s="3" t="str">
        <v>Staff Role: Storyboard (eps 8, 12)</v>
      </c>
    </row>
    <row r="196" spans="1:35" x14ac:dyDescent="0.3">
      <c r="A196" t="s">
        <v>221</v>
      </c>
      <c r="B196" s="5">
        <v>72</v>
      </c>
      <c r="C196" s="9">
        <v>5</v>
      </c>
      <c r="D196" s="6">
        <v>7.0274068868587405E-4</v>
      </c>
      <c r="E196" s="7">
        <v>5.0597329585382898E-2</v>
      </c>
      <c r="G196" s="3" t="str">
        <f t="shared" si="30"/>
        <v/>
      </c>
      <c r="H196" s="3"/>
      <c r="J196" s="3">
        <f t="shared" si="31"/>
        <v>190</v>
      </c>
      <c r="K196" s="3" t="str">
        <v>Tag: Fitness</v>
      </c>
      <c r="M196" s="3" t="str">
        <f t="shared" si="32"/>
        <v/>
      </c>
      <c r="N196" s="3"/>
      <c r="P196" s="3" t="str">
        <f t="shared" si="33"/>
        <v/>
      </c>
      <c r="Q196" s="3"/>
      <c r="S196" s="3" t="str">
        <f t="shared" si="34"/>
        <v/>
      </c>
      <c r="T196" s="3"/>
      <c r="V196" s="3" t="str">
        <f t="shared" si="35"/>
        <v/>
      </c>
      <c r="W196" s="3"/>
      <c r="Y196" s="3" t="str">
        <f t="shared" si="36"/>
        <v/>
      </c>
      <c r="Z196" s="3"/>
      <c r="AB196" s="3" t="str">
        <f t="shared" si="37"/>
        <v/>
      </c>
      <c r="AC196" s="3"/>
      <c r="AE196" s="3">
        <f t="shared" si="38"/>
        <v>190</v>
      </c>
      <c r="AF196" s="3" t="str">
        <v>Staff: Shinya Iino (Episode Director (eps 9, 10))</v>
      </c>
      <c r="AH196" s="3">
        <f t="shared" si="29"/>
        <v>190</v>
      </c>
      <c r="AI196" s="3" t="str">
        <v>Staff Role: Episode Director (eps 2, 9)</v>
      </c>
    </row>
    <row r="197" spans="1:35" x14ac:dyDescent="0.3">
      <c r="A197" t="s">
        <v>599</v>
      </c>
      <c r="B197" s="5">
        <v>72</v>
      </c>
      <c r="C197" s="9">
        <v>5</v>
      </c>
      <c r="D197" s="6">
        <v>7.0274068868587405E-4</v>
      </c>
      <c r="E197" s="7">
        <v>5.0597329585382898E-2</v>
      </c>
      <c r="G197" s="3" t="str">
        <f t="shared" si="30"/>
        <v/>
      </c>
      <c r="H197" s="3"/>
      <c r="J197" s="3">
        <f t="shared" si="31"/>
        <v>191</v>
      </c>
      <c r="K197" s="3" t="str">
        <v>Tag: Angels</v>
      </c>
      <c r="M197" s="3" t="str">
        <f t="shared" si="32"/>
        <v/>
      </c>
      <c r="N197" s="3"/>
      <c r="P197" s="3" t="str">
        <f t="shared" si="33"/>
        <v/>
      </c>
      <c r="Q197" s="3"/>
      <c r="S197" s="3" t="str">
        <f t="shared" si="34"/>
        <v/>
      </c>
      <c r="T197" s="3"/>
      <c r="V197" s="3" t="str">
        <f t="shared" si="35"/>
        <v/>
      </c>
      <c r="W197" s="3"/>
      <c r="Y197" s="3" t="str">
        <f t="shared" si="36"/>
        <v/>
      </c>
      <c r="Z197" s="3"/>
      <c r="AB197" s="3" t="str">
        <f t="shared" si="37"/>
        <v/>
      </c>
      <c r="AC197" s="3"/>
      <c r="AE197" s="3">
        <f t="shared" si="38"/>
        <v>191</v>
      </c>
      <c r="AF197" s="3" t="str">
        <v>Staff: Izuro Ijuuin (Animation Director (eps 10, 12))</v>
      </c>
      <c r="AH197" s="3">
        <f t="shared" si="29"/>
        <v>191</v>
      </c>
      <c r="AI197" s="3" t="str">
        <v>Staff Role: Assistant Episode Director (ep 3)</v>
      </c>
    </row>
    <row r="198" spans="1:35" x14ac:dyDescent="0.3">
      <c r="A198" t="s">
        <v>685</v>
      </c>
      <c r="B198" s="5">
        <v>72</v>
      </c>
      <c r="C198" s="9">
        <v>5</v>
      </c>
      <c r="D198" s="6">
        <v>7.0274068868587405E-4</v>
      </c>
      <c r="E198" s="7">
        <v>5.0597329585382898E-2</v>
      </c>
      <c r="G198" s="3" t="str">
        <f t="shared" si="30"/>
        <v/>
      </c>
      <c r="H198" s="3"/>
      <c r="J198" s="3">
        <f t="shared" si="31"/>
        <v>192</v>
      </c>
      <c r="K198" s="3" t="str">
        <v>Tag: Age Regression</v>
      </c>
      <c r="M198" s="3" t="str">
        <f t="shared" si="32"/>
        <v/>
      </c>
      <c r="N198" s="3"/>
      <c r="P198" s="3" t="str">
        <f t="shared" si="33"/>
        <v/>
      </c>
      <c r="Q198" s="3"/>
      <c r="S198" s="3" t="str">
        <f t="shared" si="34"/>
        <v/>
      </c>
      <c r="T198" s="3"/>
      <c r="V198" s="3" t="str">
        <f t="shared" si="35"/>
        <v/>
      </c>
      <c r="W198" s="3"/>
      <c r="Y198" s="3" t="str">
        <f t="shared" si="36"/>
        <v/>
      </c>
      <c r="Z198" s="3"/>
      <c r="AB198" s="3" t="str">
        <f t="shared" si="37"/>
        <v/>
      </c>
      <c r="AC198" s="3"/>
      <c r="AE198" s="3">
        <f t="shared" si="38"/>
        <v>192</v>
      </c>
      <c r="AF198" s="3" t="str">
        <v>Staff: Izuro Ijuuin (Assistant Animation Director (eps 7, 11))</v>
      </c>
      <c r="AH198" s="3">
        <f t="shared" si="29"/>
        <v>192</v>
      </c>
      <c r="AI198" s="3" t="str">
        <v>Staff Role: Script (ep 9)</v>
      </c>
    </row>
    <row r="199" spans="1:35" x14ac:dyDescent="0.3">
      <c r="A199" t="s">
        <v>91</v>
      </c>
      <c r="B199" s="5">
        <v>87.5</v>
      </c>
      <c r="C199" s="9">
        <v>4</v>
      </c>
      <c r="D199" s="6">
        <v>5.6219255094869995E-4</v>
      </c>
      <c r="E199" s="7">
        <v>4.9191848208011202E-2</v>
      </c>
      <c r="G199" s="3" t="str">
        <f t="shared" si="30"/>
        <v/>
      </c>
      <c r="H199" s="3"/>
      <c r="J199" s="3">
        <f t="shared" si="31"/>
        <v>193</v>
      </c>
      <c r="K199" s="3" t="str">
        <v>Tag: Irrumatio</v>
      </c>
      <c r="M199" s="3" t="str">
        <f t="shared" si="32"/>
        <v/>
      </c>
      <c r="N199" s="3"/>
      <c r="P199" s="3" t="str">
        <f t="shared" si="33"/>
        <v/>
      </c>
      <c r="Q199" s="3"/>
      <c r="S199" s="3" t="str">
        <f t="shared" si="34"/>
        <v/>
      </c>
      <c r="T199" s="3"/>
      <c r="V199" s="3" t="str">
        <f t="shared" si="35"/>
        <v/>
      </c>
      <c r="W199" s="3"/>
      <c r="Y199" s="3" t="str">
        <f t="shared" si="36"/>
        <v/>
      </c>
      <c r="Z199" s="3"/>
      <c r="AB199" s="3" t="str">
        <f t="shared" si="37"/>
        <v/>
      </c>
      <c r="AC199" s="3"/>
      <c r="AE199" s="3">
        <f t="shared" si="38"/>
        <v>193</v>
      </c>
      <c r="AF199" s="3" t="str">
        <v>Staff: Pierre Sugiura (Series Composition)</v>
      </c>
      <c r="AH199" s="3">
        <f t="shared" si="29"/>
        <v>193</v>
      </c>
      <c r="AI199" s="3" t="str">
        <v>Staff Role: Storyboard (OP, ED, ep 1)</v>
      </c>
    </row>
    <row r="200" spans="1:35" x14ac:dyDescent="0.3">
      <c r="A200" t="s">
        <v>206</v>
      </c>
      <c r="B200" s="5">
        <v>70</v>
      </c>
      <c r="C200" s="9">
        <v>5</v>
      </c>
      <c r="D200" s="6">
        <v>7.0274068868587405E-4</v>
      </c>
      <c r="E200" s="7">
        <v>4.9191848208011202E-2</v>
      </c>
      <c r="G200" s="3" t="str">
        <f t="shared" si="30"/>
        <v/>
      </c>
      <c r="H200" s="3"/>
      <c r="J200" s="3">
        <f t="shared" si="31"/>
        <v>194</v>
      </c>
      <c r="K200" s="3" t="str">
        <v>Tag: Band</v>
      </c>
      <c r="M200" s="3" t="str">
        <f t="shared" si="32"/>
        <v/>
      </c>
      <c r="N200" s="3"/>
      <c r="P200" s="3" t="str">
        <f t="shared" si="33"/>
        <v/>
      </c>
      <c r="Q200" s="3"/>
      <c r="S200" s="3" t="str">
        <f t="shared" si="34"/>
        <v/>
      </c>
      <c r="T200" s="3"/>
      <c r="V200" s="3" t="str">
        <f t="shared" si="35"/>
        <v/>
      </c>
      <c r="W200" s="3"/>
      <c r="Y200" s="3" t="str">
        <f t="shared" si="36"/>
        <v/>
      </c>
      <c r="Z200" s="3"/>
      <c r="AB200" s="3" t="str">
        <f t="shared" si="37"/>
        <v/>
      </c>
      <c r="AC200" s="3"/>
      <c r="AE200" s="3">
        <f t="shared" si="38"/>
        <v>194</v>
      </c>
      <c r="AF200" s="3" t="str">
        <v>Staff: Pierre Sugiura (Script (eps 1-12))</v>
      </c>
      <c r="AH200" s="3">
        <f t="shared" ref="AH200:AH263" si="39">IF(NOT(ISBLANK(AI200)),IF(NOT(ISNUMBER(AH199)),1,AH199+1),"")</f>
        <v>194</v>
      </c>
      <c r="AI200" s="3" t="str">
        <v>Staff Role: Animation Director (eps 2, 9)</v>
      </c>
    </row>
    <row r="201" spans="1:35" x14ac:dyDescent="0.3">
      <c r="A201" t="s">
        <v>226</v>
      </c>
      <c r="B201" s="5">
        <v>70</v>
      </c>
      <c r="C201" s="9">
        <v>5</v>
      </c>
      <c r="D201" s="6">
        <v>7.0274068868587405E-4</v>
      </c>
      <c r="E201" s="7">
        <v>4.9191848208011202E-2</v>
      </c>
      <c r="G201" s="3" t="str">
        <f t="shared" si="30"/>
        <v/>
      </c>
      <c r="H201" s="3"/>
      <c r="J201" s="3">
        <f t="shared" si="31"/>
        <v>195</v>
      </c>
      <c r="K201" s="3" t="str">
        <v>Tag: Shrine Maiden</v>
      </c>
      <c r="M201" s="3" t="str">
        <f t="shared" si="32"/>
        <v/>
      </c>
      <c r="N201" s="3"/>
      <c r="P201" s="3" t="str">
        <f t="shared" si="33"/>
        <v/>
      </c>
      <c r="Q201" s="3"/>
      <c r="S201" s="3" t="str">
        <f t="shared" si="34"/>
        <v/>
      </c>
      <c r="T201" s="3"/>
      <c r="V201" s="3" t="str">
        <f t="shared" si="35"/>
        <v/>
      </c>
      <c r="W201" s="3"/>
      <c r="Y201" s="3" t="str">
        <f t="shared" si="36"/>
        <v/>
      </c>
      <c r="Z201" s="3"/>
      <c r="AB201" s="3" t="str">
        <f t="shared" si="37"/>
        <v/>
      </c>
      <c r="AC201" s="3"/>
      <c r="AE201" s="3">
        <f t="shared" si="38"/>
        <v>195</v>
      </c>
      <c r="AF201" s="3" t="str">
        <v>Staff: Shun Enokido (Key Animation (ep 1))</v>
      </c>
      <c r="AH201" s="3">
        <f t="shared" si="39"/>
        <v>195</v>
      </c>
      <c r="AI201" s="3" t="str">
        <v>Staff Role: Episode Director (OP, ED, ep 1)</v>
      </c>
    </row>
    <row r="202" spans="1:35" x14ac:dyDescent="0.3">
      <c r="A202" t="s">
        <v>475</v>
      </c>
      <c r="B202" s="5">
        <v>70</v>
      </c>
      <c r="C202" s="9">
        <v>5</v>
      </c>
      <c r="D202" s="6">
        <v>7.0274068868587405E-4</v>
      </c>
      <c r="E202" s="7">
        <v>4.9191848208011202E-2</v>
      </c>
      <c r="G202" s="3" t="str">
        <f t="shared" si="30"/>
        <v/>
      </c>
      <c r="H202" s="3"/>
      <c r="J202" s="3">
        <f t="shared" si="31"/>
        <v>196</v>
      </c>
      <c r="K202" s="3" t="str">
        <v>Tag: Fairy Tale</v>
      </c>
      <c r="M202" s="3" t="str">
        <f t="shared" si="32"/>
        <v/>
      </c>
      <c r="N202" s="3"/>
      <c r="P202" s="3" t="str">
        <f t="shared" si="33"/>
        <v/>
      </c>
      <c r="Q202" s="3"/>
      <c r="S202" s="3" t="str">
        <f t="shared" si="34"/>
        <v/>
      </c>
      <c r="T202" s="3"/>
      <c r="V202" s="3" t="str">
        <f t="shared" si="35"/>
        <v/>
      </c>
      <c r="W202" s="3"/>
      <c r="Y202" s="3" t="str">
        <f t="shared" si="36"/>
        <v/>
      </c>
      <c r="Z202" s="3"/>
      <c r="AB202" s="3" t="str">
        <f t="shared" si="37"/>
        <v/>
      </c>
      <c r="AC202" s="3"/>
      <c r="AE202" s="3">
        <f t="shared" si="38"/>
        <v>196</v>
      </c>
      <c r="AF202" s="3" t="str">
        <v>Staff: Hiroyuki Ueno (Producer)</v>
      </c>
      <c r="AH202" s="3">
        <f t="shared" si="39"/>
        <v>196</v>
      </c>
      <c r="AI202" s="3" t="str">
        <v>Staff Role: Animation Director (eps 1, 7, 12)</v>
      </c>
    </row>
    <row r="203" spans="1:35" x14ac:dyDescent="0.3">
      <c r="A203" t="str">
        <f>HYPERLINK("https://anilist.co/staff/103837","Staff: Takashi Aoshima (Series Composition)")</f>
        <v>Staff: Takashi Aoshima (Series Composition)</v>
      </c>
      <c r="B203" s="5">
        <v>70</v>
      </c>
      <c r="C203" s="9">
        <v>5</v>
      </c>
      <c r="D203" s="6">
        <v>7.0274068868587405E-4</v>
      </c>
      <c r="E203" s="7">
        <v>4.9191848208011202E-2</v>
      </c>
      <c r="G203" s="3" t="str">
        <f t="shared" si="30"/>
        <v/>
      </c>
      <c r="H203" s="3"/>
      <c r="J203" s="3">
        <f t="shared" si="31"/>
        <v>197</v>
      </c>
      <c r="K203" s="3" t="str">
        <v>Tag: Denpa</v>
      </c>
      <c r="M203" s="3" t="str">
        <f t="shared" si="32"/>
        <v/>
      </c>
      <c r="N203" s="3"/>
      <c r="P203" s="3" t="str">
        <f t="shared" si="33"/>
        <v/>
      </c>
      <c r="Q203" s="3"/>
      <c r="S203" s="3" t="str">
        <f t="shared" si="34"/>
        <v/>
      </c>
      <c r="T203" s="3"/>
      <c r="V203" s="3" t="str">
        <f t="shared" si="35"/>
        <v/>
      </c>
      <c r="W203" s="3"/>
      <c r="Y203" s="3" t="str">
        <f t="shared" si="36"/>
        <v/>
      </c>
      <c r="Z203" s="3"/>
      <c r="AB203" s="3" t="str">
        <f t="shared" si="37"/>
        <v/>
      </c>
      <c r="AC203" s="3"/>
      <c r="AE203" s="3">
        <f t="shared" si="38"/>
        <v>197</v>
      </c>
      <c r="AF203" s="3" t="str">
        <v>Staff: Shun Enokido (In-Between Animation (ep 6))</v>
      </c>
      <c r="AH203" s="3">
        <f t="shared" si="39"/>
        <v>197</v>
      </c>
      <c r="AI203" s="3" t="str">
        <v>Staff Role: Assistant Episode Director (ep 7)</v>
      </c>
    </row>
    <row r="204" spans="1:35" x14ac:dyDescent="0.3">
      <c r="A204" t="s">
        <v>172</v>
      </c>
      <c r="B204" s="5">
        <v>80</v>
      </c>
      <c r="C204" s="9">
        <v>4</v>
      </c>
      <c r="D204" s="6">
        <v>5.6219255094869995E-4</v>
      </c>
      <c r="E204" s="7">
        <v>4.4975404075895897E-2</v>
      </c>
      <c r="G204" s="3" t="str">
        <f t="shared" si="30"/>
        <v/>
      </c>
      <c r="H204" s="3"/>
      <c r="J204" s="3">
        <f t="shared" si="31"/>
        <v>198</v>
      </c>
      <c r="K204" s="3" t="str">
        <v>Tag: Cars</v>
      </c>
      <c r="M204" s="3" t="str">
        <f t="shared" si="32"/>
        <v/>
      </c>
      <c r="N204" s="3"/>
      <c r="P204" s="3" t="str">
        <f t="shared" si="33"/>
        <v/>
      </c>
      <c r="Q204" s="3"/>
      <c r="S204" s="3" t="str">
        <f t="shared" si="34"/>
        <v/>
      </c>
      <c r="T204" s="3"/>
      <c r="V204" s="3" t="str">
        <f t="shared" si="35"/>
        <v/>
      </c>
      <c r="W204" s="3"/>
      <c r="Y204" s="3" t="str">
        <f t="shared" si="36"/>
        <v/>
      </c>
      <c r="Z204" s="3"/>
      <c r="AB204" s="3" t="str">
        <f t="shared" si="37"/>
        <v/>
      </c>
      <c r="AC204" s="3"/>
      <c r="AE204" s="3">
        <f t="shared" si="38"/>
        <v>198</v>
      </c>
      <c r="AF204" s="3" t="str">
        <v>Staff: Marina Sasaki (Producer)</v>
      </c>
      <c r="AH204" s="3">
        <f t="shared" si="39"/>
        <v>198</v>
      </c>
      <c r="AI204" s="3" t="str">
        <v>Staff Role: Character Design (eps 1-87)</v>
      </c>
    </row>
    <row r="205" spans="1:35" x14ac:dyDescent="0.3">
      <c r="A205" t="s">
        <v>175</v>
      </c>
      <c r="B205" s="5">
        <v>80</v>
      </c>
      <c r="C205" s="9">
        <v>4</v>
      </c>
      <c r="D205" s="6">
        <v>5.6219255094869995E-4</v>
      </c>
      <c r="E205" s="7">
        <v>4.4975404075895897E-2</v>
      </c>
      <c r="G205" s="3" t="str">
        <f t="shared" si="30"/>
        <v/>
      </c>
      <c r="H205" s="3"/>
      <c r="J205" s="3">
        <f t="shared" si="31"/>
        <v>199</v>
      </c>
      <c r="K205" s="3" t="str">
        <v>Tag: Skeleton</v>
      </c>
      <c r="M205" s="3" t="str">
        <f t="shared" si="32"/>
        <v/>
      </c>
      <c r="N205" s="3"/>
      <c r="P205" s="3" t="str">
        <f t="shared" si="33"/>
        <v/>
      </c>
      <c r="Q205" s="3"/>
      <c r="S205" s="3" t="str">
        <f t="shared" si="34"/>
        <v/>
      </c>
      <c r="T205" s="3"/>
      <c r="V205" s="3" t="str">
        <f t="shared" si="35"/>
        <v/>
      </c>
      <c r="W205" s="3"/>
      <c r="Y205" s="3" t="str">
        <f t="shared" si="36"/>
        <v/>
      </c>
      <c r="Z205" s="3"/>
      <c r="AB205" s="3" t="str">
        <f t="shared" si="37"/>
        <v/>
      </c>
      <c r="AC205" s="3"/>
      <c r="AE205" s="3">
        <f t="shared" si="38"/>
        <v>199</v>
      </c>
      <c r="AF205" s="3" t="str">
        <v>Staff: Hiroshi Tashou (Production)</v>
      </c>
      <c r="AH205" s="3">
        <f t="shared" si="39"/>
        <v>199</v>
      </c>
      <c r="AI205" s="3" t="str">
        <v>Staff Role: Key Animation (ep 43)</v>
      </c>
    </row>
    <row r="206" spans="1:35" x14ac:dyDescent="0.3">
      <c r="A206" t="s">
        <v>342</v>
      </c>
      <c r="B206" s="5">
        <v>80</v>
      </c>
      <c r="C206" s="9">
        <v>4</v>
      </c>
      <c r="D206" s="6">
        <v>5.6219255094869995E-4</v>
      </c>
      <c r="E206" s="7">
        <v>4.4975404075895897E-2</v>
      </c>
      <c r="G206" s="3" t="str">
        <f t="shared" si="30"/>
        <v/>
      </c>
      <c r="H206" s="3"/>
      <c r="J206" s="3">
        <f t="shared" si="31"/>
        <v>200</v>
      </c>
      <c r="K206" s="3" t="str">
        <v>Tag: Vampire</v>
      </c>
      <c r="M206" s="3" t="str">
        <f t="shared" si="32"/>
        <v/>
      </c>
      <c r="N206" s="3"/>
      <c r="P206" s="3" t="str">
        <f t="shared" si="33"/>
        <v/>
      </c>
      <c r="Q206" s="3"/>
      <c r="S206" s="3" t="str">
        <f t="shared" si="34"/>
        <v/>
      </c>
      <c r="T206" s="3"/>
      <c r="V206" s="3" t="str">
        <f t="shared" si="35"/>
        <v/>
      </c>
      <c r="W206" s="3"/>
      <c r="Y206" s="3" t="str">
        <f t="shared" si="36"/>
        <v/>
      </c>
      <c r="Z206" s="3"/>
      <c r="AB206" s="3" t="str">
        <f t="shared" si="37"/>
        <v/>
      </c>
      <c r="AC206" s="3"/>
      <c r="AE206" s="3">
        <f t="shared" si="38"/>
        <v>200</v>
      </c>
      <c r="AF206" s="3" t="str">
        <v>Staff: John Burgmeier (Script (English))</v>
      </c>
      <c r="AH206" s="3">
        <f t="shared" si="39"/>
        <v>200</v>
      </c>
      <c r="AI206" s="3" t="str">
        <v>Staff Role: Key Animation (OP1)</v>
      </c>
    </row>
    <row r="207" spans="1:35" x14ac:dyDescent="0.3">
      <c r="A207" t="s">
        <v>503</v>
      </c>
      <c r="B207" s="5">
        <v>80</v>
      </c>
      <c r="C207" s="9">
        <v>4</v>
      </c>
      <c r="D207" s="6">
        <v>5.6219255094869995E-4</v>
      </c>
      <c r="E207" s="7">
        <v>4.4975404075895897E-2</v>
      </c>
      <c r="G207" s="3" t="str">
        <f t="shared" si="30"/>
        <v/>
      </c>
      <c r="H207" s="3"/>
      <c r="J207" s="3">
        <f t="shared" si="31"/>
        <v>201</v>
      </c>
      <c r="K207" s="3" t="str">
        <v>Tag: Astronomy</v>
      </c>
      <c r="M207" s="3" t="str">
        <f t="shared" si="32"/>
        <v/>
      </c>
      <c r="N207" s="3"/>
      <c r="P207" s="3" t="str">
        <f t="shared" si="33"/>
        <v/>
      </c>
      <c r="Q207" s="3"/>
      <c r="S207" s="3" t="str">
        <f t="shared" si="34"/>
        <v/>
      </c>
      <c r="T207" s="3"/>
      <c r="V207" s="3" t="str">
        <f t="shared" si="35"/>
        <v/>
      </c>
      <c r="W207" s="3"/>
      <c r="Y207" s="3" t="str">
        <f t="shared" si="36"/>
        <v/>
      </c>
      <c r="Z207" s="3"/>
      <c r="AB207" s="3" t="str">
        <f t="shared" si="37"/>
        <v/>
      </c>
      <c r="AC207" s="3"/>
      <c r="AE207" s="3">
        <f t="shared" si="38"/>
        <v>201</v>
      </c>
      <c r="AF207" s="3" t="str">
        <v>Staff: Caitlin Glass (ADR Director (English))</v>
      </c>
      <c r="AH207" s="3">
        <f t="shared" si="39"/>
        <v>201</v>
      </c>
      <c r="AI207" s="3" t="str">
        <v>Staff Role: Theme Song Arrangement (ED3)</v>
      </c>
    </row>
    <row r="208" spans="1:35" x14ac:dyDescent="0.3">
      <c r="A208" t="s">
        <v>511</v>
      </c>
      <c r="B208" s="5">
        <v>80</v>
      </c>
      <c r="C208" s="9">
        <v>4</v>
      </c>
      <c r="D208" s="6">
        <v>5.6219255094869995E-4</v>
      </c>
      <c r="E208" s="7">
        <v>4.4975404075895897E-2</v>
      </c>
      <c r="G208" s="3" t="str">
        <f t="shared" si="30"/>
        <v/>
      </c>
      <c r="H208" s="3"/>
      <c r="J208" s="3">
        <f t="shared" si="31"/>
        <v>202</v>
      </c>
      <c r="K208" s="3" t="str">
        <v>Tag: Cult</v>
      </c>
      <c r="M208" s="3" t="str">
        <f t="shared" si="32"/>
        <v/>
      </c>
      <c r="N208" s="3"/>
      <c r="P208" s="3" t="str">
        <f t="shared" si="33"/>
        <v/>
      </c>
      <c r="Q208" s="3"/>
      <c r="S208" s="3" t="str">
        <f t="shared" si="34"/>
        <v/>
      </c>
      <c r="T208" s="3"/>
      <c r="V208" s="3" t="str">
        <f t="shared" si="35"/>
        <v/>
      </c>
      <c r="W208" s="3"/>
      <c r="Y208" s="3" t="str">
        <f t="shared" si="36"/>
        <v/>
      </c>
      <c r="Z208" s="3"/>
      <c r="AB208" s="3" t="str">
        <f t="shared" si="37"/>
        <v/>
      </c>
      <c r="AC208" s="3"/>
      <c r="AE208" s="3">
        <f t="shared" si="38"/>
        <v>202</v>
      </c>
      <c r="AF208" s="3" t="str">
        <v>Staff: Hiromu Arakawa (Original Creator)</v>
      </c>
      <c r="AH208" s="3">
        <f t="shared" si="39"/>
        <v>202</v>
      </c>
      <c r="AI208" s="3" t="str">
        <v>Staff Role: Theme Song Composition (ED3)</v>
      </c>
    </row>
    <row r="209" spans="1:35" x14ac:dyDescent="0.3">
      <c r="A209" t="s">
        <v>111</v>
      </c>
      <c r="B209" s="5">
        <v>77.5</v>
      </c>
      <c r="C209" s="9">
        <v>4</v>
      </c>
      <c r="D209" s="6">
        <v>5.6219255094869995E-4</v>
      </c>
      <c r="E209" s="7">
        <v>4.3569922698524201E-2</v>
      </c>
      <c r="G209" s="3" t="str">
        <f t="shared" si="30"/>
        <v/>
      </c>
      <c r="H209" s="3"/>
      <c r="J209" s="3">
        <f t="shared" si="31"/>
        <v>203</v>
      </c>
      <c r="K209" s="3" t="str">
        <v>Tag: Airsoft</v>
      </c>
      <c r="M209" s="3" t="str">
        <f t="shared" si="32"/>
        <v/>
      </c>
      <c r="N209" s="3"/>
      <c r="P209" s="3" t="str">
        <f t="shared" si="33"/>
        <v/>
      </c>
      <c r="Q209" s="3"/>
      <c r="S209" s="3" t="str">
        <f t="shared" si="34"/>
        <v/>
      </c>
      <c r="T209" s="3"/>
      <c r="V209" s="3" t="str">
        <f t="shared" si="35"/>
        <v/>
      </c>
      <c r="W209" s="3"/>
      <c r="Y209" s="3" t="str">
        <f t="shared" si="36"/>
        <v/>
      </c>
      <c r="Z209" s="3"/>
      <c r="AB209" s="3" t="str">
        <f t="shared" si="37"/>
        <v/>
      </c>
      <c r="AC209" s="3"/>
      <c r="AE209" s="3">
        <f t="shared" si="38"/>
        <v>203</v>
      </c>
      <c r="AF209" s="3" t="str">
        <v>Staff: Hiroshi Oonogi (Script (eps 1-3, 7-9, 12, 14, 17, 19, 30, 32, 40, 46, 53, 55, 56, 58-64))</v>
      </c>
      <c r="AH209" s="3">
        <f t="shared" si="39"/>
        <v>203</v>
      </c>
      <c r="AI209" s="3" t="str">
        <v>Staff Role: Theme Song Lyrics (ED3)</v>
      </c>
    </row>
    <row r="210" spans="1:35" x14ac:dyDescent="0.3">
      <c r="A210" t="s">
        <v>134</v>
      </c>
      <c r="B210" s="5">
        <v>77.5</v>
      </c>
      <c r="C210" s="9">
        <v>4</v>
      </c>
      <c r="D210" s="6">
        <v>5.6219255094869995E-4</v>
      </c>
      <c r="E210" s="7">
        <v>4.3569922698524201E-2</v>
      </c>
      <c r="G210" s="3" t="str">
        <f t="shared" si="30"/>
        <v/>
      </c>
      <c r="H210" s="3"/>
      <c r="J210" s="3">
        <f t="shared" si="31"/>
        <v>204</v>
      </c>
      <c r="K210" s="3" t="str">
        <v>Tag: Shoujo</v>
      </c>
      <c r="M210" s="3" t="str">
        <f t="shared" si="32"/>
        <v/>
      </c>
      <c r="N210" s="3"/>
      <c r="P210" s="3" t="str">
        <f t="shared" si="33"/>
        <v/>
      </c>
      <c r="Q210" s="3"/>
      <c r="S210" s="3" t="str">
        <f t="shared" si="34"/>
        <v/>
      </c>
      <c r="T210" s="3"/>
      <c r="V210" s="3" t="str">
        <f t="shared" si="35"/>
        <v/>
      </c>
      <c r="W210" s="3"/>
      <c r="Y210" s="3" t="str">
        <f t="shared" si="36"/>
        <v/>
      </c>
      <c r="Z210" s="3"/>
      <c r="AB210" s="3" t="str">
        <f t="shared" si="37"/>
        <v/>
      </c>
      <c r="AC210" s="3"/>
      <c r="AE210" s="3">
        <f t="shared" si="38"/>
        <v>204</v>
      </c>
      <c r="AF210" s="3" t="str">
        <v>Staff: Shouko Nakagawa (Theme Song Performance (ED5))</v>
      </c>
      <c r="AH210" s="3">
        <f t="shared" si="39"/>
        <v>204</v>
      </c>
      <c r="AI210" s="3" t="str">
        <v>Staff Role: Theme Song Performance (OP1-OP6)</v>
      </c>
    </row>
    <row r="211" spans="1:35" x14ac:dyDescent="0.3">
      <c r="A211" t="s">
        <v>138</v>
      </c>
      <c r="B211" s="5">
        <v>77.5</v>
      </c>
      <c r="C211" s="9">
        <v>4</v>
      </c>
      <c r="D211" s="6">
        <v>5.6219255094869995E-4</v>
      </c>
      <c r="E211" s="7">
        <v>4.3569922698524201E-2</v>
      </c>
      <c r="G211" s="3" t="str">
        <f t="shared" si="30"/>
        <v/>
      </c>
      <c r="H211" s="3"/>
      <c r="J211" s="3">
        <f t="shared" si="31"/>
        <v>205</v>
      </c>
      <c r="K211" s="3" t="str">
        <v>Tag: Cyberpunk</v>
      </c>
      <c r="M211" s="3" t="str">
        <f t="shared" si="32"/>
        <v/>
      </c>
      <c r="N211" s="3"/>
      <c r="P211" s="3" t="str">
        <f t="shared" si="33"/>
        <v/>
      </c>
      <c r="Q211" s="3"/>
      <c r="S211" s="3" t="str">
        <f t="shared" si="34"/>
        <v/>
      </c>
      <c r="T211" s="3"/>
      <c r="V211" s="3" t="str">
        <f t="shared" si="35"/>
        <v/>
      </c>
      <c r="W211" s="3"/>
      <c r="Y211" s="3" t="str">
        <f t="shared" si="36"/>
        <v/>
      </c>
      <c r="Z211" s="3"/>
      <c r="AB211" s="3" t="str">
        <f t="shared" si="37"/>
        <v/>
      </c>
      <c r="AC211" s="3"/>
      <c r="AE211" s="3">
        <f t="shared" si="38"/>
        <v>205</v>
      </c>
      <c r="AF211" s="3" t="str">
        <v>Staff: yui  (Theme Song Composition (OP1))</v>
      </c>
      <c r="AH211" s="3">
        <f t="shared" si="39"/>
        <v>205</v>
      </c>
      <c r="AI211" s="3" t="str">
        <v>Staff Role: Theme Song Performance (ED3-ED5)</v>
      </c>
    </row>
    <row r="212" spans="1:35" x14ac:dyDescent="0.3">
      <c r="A212" t="s">
        <v>194</v>
      </c>
      <c r="B212" s="5">
        <v>77.5</v>
      </c>
      <c r="C212" s="9">
        <v>4</v>
      </c>
      <c r="D212" s="6">
        <v>5.6219255094869995E-4</v>
      </c>
      <c r="E212" s="7">
        <v>4.3569922698524201E-2</v>
      </c>
      <c r="G212" s="3" t="str">
        <f t="shared" si="30"/>
        <v/>
      </c>
      <c r="H212" s="3"/>
      <c r="J212" s="3">
        <f t="shared" si="31"/>
        <v>206</v>
      </c>
      <c r="K212" s="3" t="str">
        <v>Tag: Torture</v>
      </c>
      <c r="M212" s="3" t="str">
        <f t="shared" si="32"/>
        <v/>
      </c>
      <c r="N212" s="3"/>
      <c r="P212" s="3" t="str">
        <f t="shared" si="33"/>
        <v/>
      </c>
      <c r="Q212" s="3"/>
      <c r="S212" s="3" t="str">
        <f t="shared" si="34"/>
        <v/>
      </c>
      <c r="T212" s="3"/>
      <c r="V212" s="3" t="str">
        <f t="shared" si="35"/>
        <v/>
      </c>
      <c r="W212" s="3"/>
      <c r="Y212" s="3" t="str">
        <f t="shared" si="36"/>
        <v/>
      </c>
      <c r="Z212" s="3"/>
      <c r="AB212" s="3" t="str">
        <f t="shared" si="37"/>
        <v/>
      </c>
      <c r="AC212" s="3"/>
      <c r="AE212" s="3">
        <f t="shared" si="38"/>
        <v>206</v>
      </c>
      <c r="AF212" s="3" t="str">
        <v>Staff: yui  (Theme Song Lyrics (OP1))</v>
      </c>
      <c r="AH212" s="3">
        <f t="shared" si="39"/>
        <v>206</v>
      </c>
      <c r="AI212" s="3" t="str">
        <v>Staff Role: Key Animation (OP4)</v>
      </c>
    </row>
    <row r="213" spans="1:35" x14ac:dyDescent="0.3">
      <c r="A213" t="s">
        <v>196</v>
      </c>
      <c r="B213" s="5">
        <v>77.5</v>
      </c>
      <c r="C213" s="9">
        <v>4</v>
      </c>
      <c r="D213" s="6">
        <v>5.6219255094869995E-4</v>
      </c>
      <c r="E213" s="7">
        <v>4.3569922698524201E-2</v>
      </c>
      <c r="G213" s="3" t="str">
        <f t="shared" si="30"/>
        <v/>
      </c>
      <c r="H213" s="3"/>
      <c r="J213" s="3">
        <f t="shared" si="31"/>
        <v>207</v>
      </c>
      <c r="K213" s="3" t="str">
        <v>Tag: Detective</v>
      </c>
      <c r="M213" s="3" t="str">
        <f t="shared" si="32"/>
        <v/>
      </c>
      <c r="N213" s="3"/>
      <c r="P213" s="3" t="str">
        <f t="shared" si="33"/>
        <v/>
      </c>
      <c r="Q213" s="3"/>
      <c r="S213" s="3" t="str">
        <f t="shared" si="34"/>
        <v/>
      </c>
      <c r="T213" s="3"/>
      <c r="V213" s="3" t="str">
        <f t="shared" si="35"/>
        <v/>
      </c>
      <c r="W213" s="3"/>
      <c r="Y213" s="3" t="str">
        <f t="shared" si="36"/>
        <v/>
      </c>
      <c r="Z213" s="3"/>
      <c r="AB213" s="3" t="str">
        <f t="shared" si="37"/>
        <v/>
      </c>
      <c r="AC213" s="3"/>
      <c r="AE213" s="3">
        <f t="shared" si="38"/>
        <v>207</v>
      </c>
      <c r="AF213" s="3" t="str">
        <v>Staff: yui  (Theme Song Performance (OP1))</v>
      </c>
      <c r="AH213" s="3">
        <f t="shared" si="39"/>
        <v>207</v>
      </c>
      <c r="AI213" s="3" t="str">
        <v>Staff Role: Key Animation (ep 29)</v>
      </c>
    </row>
    <row r="214" spans="1:35" x14ac:dyDescent="0.3">
      <c r="A214" t="s">
        <v>271</v>
      </c>
      <c r="B214" s="5">
        <v>77.5</v>
      </c>
      <c r="C214" s="9">
        <v>4</v>
      </c>
      <c r="D214" s="6">
        <v>5.6219255094869995E-4</v>
      </c>
      <c r="E214" s="7">
        <v>4.3569922698524201E-2</v>
      </c>
      <c r="G214" s="3" t="str">
        <f t="shared" si="30"/>
        <v/>
      </c>
      <c r="H214" s="3"/>
      <c r="J214" s="3">
        <f t="shared" si="31"/>
        <v>208</v>
      </c>
      <c r="K214" s="3" t="str">
        <v>Tag: Large Breasts</v>
      </c>
      <c r="M214" s="3" t="str">
        <f t="shared" si="32"/>
        <v/>
      </c>
      <c r="N214" s="3"/>
      <c r="P214" s="3" t="str">
        <f t="shared" si="33"/>
        <v/>
      </c>
      <c r="Q214" s="3"/>
      <c r="S214" s="3" t="str">
        <f t="shared" si="34"/>
        <v/>
      </c>
      <c r="T214" s="3"/>
      <c r="V214" s="3" t="str">
        <f t="shared" si="35"/>
        <v/>
      </c>
      <c r="W214" s="3"/>
      <c r="Y214" s="3" t="str">
        <f t="shared" si="36"/>
        <v/>
      </c>
      <c r="Z214" s="3"/>
      <c r="AB214" s="3" t="str">
        <f t="shared" si="37"/>
        <v/>
      </c>
      <c r="AC214" s="3"/>
      <c r="AE214" s="3">
        <f t="shared" si="38"/>
        <v>208</v>
      </c>
      <c r="AF214" s="3" t="str">
        <v>Staff: Yukiko Ban (Key Animation (eps 1, 20))</v>
      </c>
      <c r="AH214" s="3">
        <f t="shared" si="39"/>
        <v>208</v>
      </c>
      <c r="AI214" s="3" t="str">
        <v>Staff Role: Key Animation (OP2-4, ED6, ep 148)</v>
      </c>
    </row>
    <row r="215" spans="1:35" x14ac:dyDescent="0.3">
      <c r="A215" t="s">
        <v>354</v>
      </c>
      <c r="B215" s="5">
        <v>77.5</v>
      </c>
      <c r="C215" s="9">
        <v>4</v>
      </c>
      <c r="D215" s="6">
        <v>5.6219255094869995E-4</v>
      </c>
      <c r="E215" s="7">
        <v>4.3569922698524201E-2</v>
      </c>
      <c r="G215" s="3" t="str">
        <f t="shared" ref="G215:G278" si="40">IF(NOT(ISBLANK(H215)),IF(NOT(ISNUMBER(G214)),1,G214+1),"")</f>
        <v/>
      </c>
      <c r="H215" s="3"/>
      <c r="J215" s="3">
        <f t="shared" ref="J215:J278" si="41">IF(NOT(ISBLANK(K215)),IF(NOT(ISNUMBER(J214)),1,J214+1),"")</f>
        <v>209</v>
      </c>
      <c r="K215" s="3" t="str">
        <v>Tag: Netorare</v>
      </c>
      <c r="M215" s="3" t="str">
        <f t="shared" ref="M215:M278" si="42">IF(NOT(ISBLANK(N215)),IF(NOT(ISNUMBER(M214)),1,M214+1),"")</f>
        <v/>
      </c>
      <c r="N215" s="3"/>
      <c r="P215" s="3" t="str">
        <f t="shared" ref="P215:P278" si="43">IF(NOT(ISBLANK(Q215)),IF(NOT(ISNUMBER(P214)),1,P214+1),"")</f>
        <v/>
      </c>
      <c r="Q215" s="3"/>
      <c r="S215" s="3" t="str">
        <f t="shared" ref="S215:S278" si="44">IF(NOT(ISBLANK(T215)),IF(NOT(ISNUMBER(S214)),1,S214+1),"")</f>
        <v/>
      </c>
      <c r="T215" s="3"/>
      <c r="V215" s="3" t="str">
        <f t="shared" ref="V215:V278" si="45">IF(NOT(ISBLANK(W215)),IF(NOT(ISNUMBER(V214)),1,V214+1),"")</f>
        <v/>
      </c>
      <c r="W215" s="3"/>
      <c r="Y215" s="3" t="str">
        <f t="shared" ref="Y215:Y278" si="46">IF(NOT(ISBLANK(Z215)),IF(NOT(ISNUMBER(Y214)),1,Y214+1),"")</f>
        <v/>
      </c>
      <c r="Z215" s="3"/>
      <c r="AB215" s="3" t="str">
        <f t="shared" ref="AB215:AB278" si="47">IF(NOT(ISBLANK(AC215)),IF(NOT(ISNUMBER(AB214)),1,AB214+1),"")</f>
        <v/>
      </c>
      <c r="AC215" s="3"/>
      <c r="AE215" s="3">
        <f t="shared" ref="AE215:AE278" si="48">IF(NOT(ISBLANK(AF215)),IF(NOT(ISNUMBER(AE214)),1,AE214+1),"")</f>
        <v>209</v>
      </c>
      <c r="AF215" s="3" t="str">
        <v>Staff: Akira Amemiya (Key Animation (ep 33))</v>
      </c>
      <c r="AH215" s="3">
        <f t="shared" si="39"/>
        <v>209</v>
      </c>
      <c r="AI215" s="3" t="str">
        <v>Staff Role: Key Animation (ep 36)</v>
      </c>
    </row>
    <row r="216" spans="1:35" x14ac:dyDescent="0.3">
      <c r="A216" t="str">
        <f>HYPERLINK("https://anilist.co/staff/120031","Staff: Masakazu Miyake (Art Director)")</f>
        <v>Staff: Masakazu Miyake (Art Director)</v>
      </c>
      <c r="B216" s="5">
        <v>77.5</v>
      </c>
      <c r="C216" s="9">
        <v>4</v>
      </c>
      <c r="D216" s="6">
        <v>5.6219255094869995E-4</v>
      </c>
      <c r="E216" s="7">
        <v>4.3569922698524201E-2</v>
      </c>
      <c r="G216" s="3" t="str">
        <f t="shared" si="40"/>
        <v/>
      </c>
      <c r="H216" s="3"/>
      <c r="J216" s="3">
        <f t="shared" si="41"/>
        <v>210</v>
      </c>
      <c r="K216" s="3" t="str">
        <v>Tag: Mahjong</v>
      </c>
      <c r="M216" s="3" t="str">
        <f t="shared" si="42"/>
        <v/>
      </c>
      <c r="N216" s="3"/>
      <c r="P216" s="3" t="str">
        <f t="shared" si="43"/>
        <v/>
      </c>
      <c r="Q216" s="3"/>
      <c r="S216" s="3" t="str">
        <f t="shared" si="44"/>
        <v/>
      </c>
      <c r="T216" s="3"/>
      <c r="V216" s="3" t="str">
        <f t="shared" si="45"/>
        <v/>
      </c>
      <c r="W216" s="3"/>
      <c r="Y216" s="3" t="str">
        <f t="shared" si="46"/>
        <v/>
      </c>
      <c r="Z216" s="3"/>
      <c r="AB216" s="3" t="str">
        <f t="shared" si="47"/>
        <v/>
      </c>
      <c r="AC216" s="3"/>
      <c r="AE216" s="3">
        <f t="shared" si="48"/>
        <v>210</v>
      </c>
      <c r="AF216" s="3" t="str">
        <v>Staff: Satoshi Ishino (Animation Director (eps 10, 52, 60, 62, 64))</v>
      </c>
      <c r="AH216" s="3">
        <f t="shared" si="39"/>
        <v>210</v>
      </c>
      <c r="AI216" s="3" t="str">
        <v>Staff Role: Key Animation (ED3)</v>
      </c>
    </row>
    <row r="217" spans="1:35" x14ac:dyDescent="0.3">
      <c r="A217" t="s">
        <v>132</v>
      </c>
      <c r="B217" s="5">
        <v>75</v>
      </c>
      <c r="C217" s="9">
        <v>4</v>
      </c>
      <c r="D217" s="6">
        <v>5.6219255094869995E-4</v>
      </c>
      <c r="E217" s="7">
        <v>4.2164441321152497E-2</v>
      </c>
      <c r="G217" s="3" t="str">
        <f t="shared" si="40"/>
        <v/>
      </c>
      <c r="H217" s="3"/>
      <c r="J217" s="3" t="str">
        <f t="shared" si="41"/>
        <v/>
      </c>
      <c r="K217" s="3"/>
      <c r="M217" s="3" t="str">
        <f t="shared" si="42"/>
        <v/>
      </c>
      <c r="N217" s="3"/>
      <c r="P217" s="3" t="str">
        <f t="shared" si="43"/>
        <v/>
      </c>
      <c r="Q217" s="3"/>
      <c r="S217" s="3" t="str">
        <f t="shared" si="44"/>
        <v/>
      </c>
      <c r="T217" s="3"/>
      <c r="V217" s="3" t="str">
        <f t="shared" si="45"/>
        <v/>
      </c>
      <c r="W217" s="3"/>
      <c r="Y217" s="3" t="str">
        <f t="shared" si="46"/>
        <v/>
      </c>
      <c r="Z217" s="3"/>
      <c r="AB217" s="3" t="str">
        <f t="shared" si="47"/>
        <v/>
      </c>
      <c r="AC217" s="3"/>
      <c r="AE217" s="3">
        <f t="shared" si="48"/>
        <v>211</v>
      </c>
      <c r="AF217" s="3" t="str">
        <v>Staff: Yasuhiro Irie (Storyboard (OP1, ED2, ED4, ED5, eps 1, 2, 5, 8, 63, 64))</v>
      </c>
      <c r="AH217" s="3">
        <f t="shared" si="39"/>
        <v>211</v>
      </c>
      <c r="AI217" s="3" t="str">
        <v>Staff Role: Key Animation (OP5, ED5, eps 73, 75, 78, 81, 85, 94, 100, 107, 110, 116, 123, 127, 131, 138, 139, 142, 145, 146)</v>
      </c>
    </row>
    <row r="218" spans="1:35" x14ac:dyDescent="0.3">
      <c r="A218" t="s">
        <v>157</v>
      </c>
      <c r="B218" s="5">
        <v>75</v>
      </c>
      <c r="C218" s="9">
        <v>4</v>
      </c>
      <c r="D218" s="6">
        <v>5.6219255094869995E-4</v>
      </c>
      <c r="E218" s="7">
        <v>4.2164441321152497E-2</v>
      </c>
      <c r="G218" s="3" t="str">
        <f t="shared" si="40"/>
        <v/>
      </c>
      <c r="H218" s="3"/>
      <c r="J218" s="3" t="str">
        <f t="shared" si="41"/>
        <v/>
      </c>
      <c r="K218" s="3"/>
      <c r="M218" s="3" t="str">
        <f t="shared" si="42"/>
        <v/>
      </c>
      <c r="N218" s="3"/>
      <c r="P218" s="3" t="str">
        <f t="shared" si="43"/>
        <v/>
      </c>
      <c r="Q218" s="3"/>
      <c r="S218" s="3" t="str">
        <f t="shared" si="44"/>
        <v/>
      </c>
      <c r="T218" s="3"/>
      <c r="V218" s="3" t="str">
        <f t="shared" si="45"/>
        <v/>
      </c>
      <c r="W218" s="3"/>
      <c r="Y218" s="3" t="str">
        <f t="shared" si="46"/>
        <v/>
      </c>
      <c r="Z218" s="3"/>
      <c r="AB218" s="3" t="str">
        <f t="shared" si="47"/>
        <v/>
      </c>
      <c r="AC218" s="3"/>
      <c r="AE218" s="3">
        <f t="shared" si="48"/>
        <v>212</v>
      </c>
      <c r="AF218" s="3" t="str">
        <v>Staff: Yasuhiro Irie (Director)</v>
      </c>
      <c r="AH218" s="3">
        <f t="shared" si="39"/>
        <v>212</v>
      </c>
      <c r="AI218" s="3" t="str">
        <v>Staff Role: Key Animation (OP1-5, eps 6, 14, 21, 29, 50, 57, 135, 142, 148)</v>
      </c>
    </row>
    <row r="219" spans="1:35" x14ac:dyDescent="0.3">
      <c r="A219" t="s">
        <v>178</v>
      </c>
      <c r="B219" s="5">
        <v>75</v>
      </c>
      <c r="C219" s="9">
        <v>4</v>
      </c>
      <c r="D219" s="6">
        <v>5.6219255094869995E-4</v>
      </c>
      <c r="E219" s="7">
        <v>4.2164441321152497E-2</v>
      </c>
      <c r="G219" s="3" t="str">
        <f t="shared" si="40"/>
        <v/>
      </c>
      <c r="H219" s="3"/>
      <c r="J219" s="3" t="str">
        <f t="shared" si="41"/>
        <v/>
      </c>
      <c r="K219" s="3"/>
      <c r="M219" s="3" t="str">
        <f t="shared" si="42"/>
        <v/>
      </c>
      <c r="N219" s="3"/>
      <c r="P219" s="3" t="str">
        <f t="shared" si="43"/>
        <v/>
      </c>
      <c r="Q219" s="3"/>
      <c r="S219" s="3" t="str">
        <f t="shared" si="44"/>
        <v/>
      </c>
      <c r="T219" s="3"/>
      <c r="V219" s="3" t="str">
        <f t="shared" si="45"/>
        <v/>
      </c>
      <c r="W219" s="3"/>
      <c r="Y219" s="3" t="str">
        <f t="shared" si="46"/>
        <v/>
      </c>
      <c r="Z219" s="3"/>
      <c r="AB219" s="3" t="str">
        <f t="shared" si="47"/>
        <v/>
      </c>
      <c r="AC219" s="3"/>
      <c r="AE219" s="3">
        <f t="shared" si="48"/>
        <v>213</v>
      </c>
      <c r="AF219" s="3" t="str">
        <v>Staff: Yasuhiro Irie (Episode Director (OP1, ep 64))</v>
      </c>
      <c r="AH219" s="3">
        <f t="shared" si="39"/>
        <v>213</v>
      </c>
      <c r="AI219" s="3" t="str">
        <v xml:space="preserve">Staff Role: Key Animation (OP6, eps 5, 12, 20, 28, 34, 40, 82, 91, 96, 98, 105, 112, 118, 125, 126, 132, 146) </v>
      </c>
    </row>
    <row r="220" spans="1:35" x14ac:dyDescent="0.3">
      <c r="A220" t="s">
        <v>220</v>
      </c>
      <c r="B220" s="5">
        <v>75</v>
      </c>
      <c r="C220" s="9">
        <v>4</v>
      </c>
      <c r="D220" s="6">
        <v>5.6219255094869995E-4</v>
      </c>
      <c r="E220" s="7">
        <v>4.2164441321152497E-2</v>
      </c>
      <c r="G220" s="3" t="str">
        <f t="shared" si="40"/>
        <v/>
      </c>
      <c r="H220" s="3"/>
      <c r="J220" s="3" t="str">
        <f t="shared" si="41"/>
        <v/>
      </c>
      <c r="K220" s="3"/>
      <c r="M220" s="3" t="str">
        <f t="shared" si="42"/>
        <v/>
      </c>
      <c r="N220" s="3"/>
      <c r="P220" s="3" t="str">
        <f t="shared" si="43"/>
        <v/>
      </c>
      <c r="Q220" s="3"/>
      <c r="S220" s="3" t="str">
        <f t="shared" si="44"/>
        <v/>
      </c>
      <c r="T220" s="3"/>
      <c r="V220" s="3" t="str">
        <f t="shared" si="45"/>
        <v/>
      </c>
      <c r="W220" s="3"/>
      <c r="Y220" s="3" t="str">
        <f t="shared" si="46"/>
        <v/>
      </c>
      <c r="Z220" s="3"/>
      <c r="AB220" s="3" t="str">
        <f t="shared" si="47"/>
        <v/>
      </c>
      <c r="AC220" s="3"/>
      <c r="AE220" s="3">
        <f t="shared" si="48"/>
        <v>214</v>
      </c>
      <c r="AF220" s="3" t="str">
        <v>Staff: Masahiko Minami (Planning)</v>
      </c>
      <c r="AH220" s="3">
        <f t="shared" si="39"/>
        <v>214</v>
      </c>
      <c r="AI220" s="3" t="str">
        <v>Staff Role: Script (eps 1, 4, 6, 10)</v>
      </c>
    </row>
    <row r="221" spans="1:35" x14ac:dyDescent="0.3">
      <c r="A221" t="s">
        <v>312</v>
      </c>
      <c r="B221" s="5">
        <v>75</v>
      </c>
      <c r="C221" s="9">
        <v>4</v>
      </c>
      <c r="D221" s="6">
        <v>5.6219255094869995E-4</v>
      </c>
      <c r="E221" s="7">
        <v>4.2164441321152497E-2</v>
      </c>
      <c r="G221" s="3" t="str">
        <f t="shared" si="40"/>
        <v/>
      </c>
      <c r="H221" s="3"/>
      <c r="J221" s="3" t="str">
        <f t="shared" si="41"/>
        <v/>
      </c>
      <c r="K221" s="3"/>
      <c r="M221" s="3" t="str">
        <f t="shared" si="42"/>
        <v/>
      </c>
      <c r="N221" s="3"/>
      <c r="P221" s="3" t="str">
        <f t="shared" si="43"/>
        <v/>
      </c>
      <c r="Q221" s="3"/>
      <c r="S221" s="3" t="str">
        <f t="shared" si="44"/>
        <v/>
      </c>
      <c r="T221" s="3"/>
      <c r="V221" s="3" t="str">
        <f t="shared" si="45"/>
        <v/>
      </c>
      <c r="W221" s="3"/>
      <c r="Y221" s="3" t="str">
        <f t="shared" si="46"/>
        <v/>
      </c>
      <c r="Z221" s="3"/>
      <c r="AB221" s="3" t="str">
        <f t="shared" si="47"/>
        <v/>
      </c>
      <c r="AC221" s="3"/>
      <c r="AE221" s="3">
        <f t="shared" si="48"/>
        <v>215</v>
      </c>
      <c r="AF221" s="3" t="str">
        <v>Staff: Masayuki Sakoi (Storyboard  (ep 7))</v>
      </c>
      <c r="AH221" s="3">
        <f t="shared" si="39"/>
        <v>215</v>
      </c>
      <c r="AI221" s="3" t="str">
        <v>Staff Role: Theme Song Performance (OP, ED: ep 10)</v>
      </c>
    </row>
    <row r="222" spans="1:35" x14ac:dyDescent="0.3">
      <c r="A222" t="s">
        <v>331</v>
      </c>
      <c r="B222" s="5">
        <v>75</v>
      </c>
      <c r="C222" s="9">
        <v>4</v>
      </c>
      <c r="D222" s="6">
        <v>5.6219255094869995E-4</v>
      </c>
      <c r="E222" s="7">
        <v>4.2164441321152497E-2</v>
      </c>
      <c r="G222" s="3" t="str">
        <f t="shared" si="40"/>
        <v/>
      </c>
      <c r="H222" s="3"/>
      <c r="J222" s="3" t="str">
        <f t="shared" si="41"/>
        <v/>
      </c>
      <c r="K222" s="3"/>
      <c r="M222" s="3" t="str">
        <f t="shared" si="42"/>
        <v/>
      </c>
      <c r="N222" s="3"/>
      <c r="P222" s="3" t="str">
        <f t="shared" si="43"/>
        <v/>
      </c>
      <c r="Q222" s="3"/>
      <c r="S222" s="3" t="str">
        <f t="shared" si="44"/>
        <v/>
      </c>
      <c r="T222" s="3"/>
      <c r="V222" s="3" t="str">
        <f t="shared" si="45"/>
        <v/>
      </c>
      <c r="W222" s="3"/>
      <c r="Y222" s="3" t="str">
        <f t="shared" si="46"/>
        <v/>
      </c>
      <c r="Z222" s="3"/>
      <c r="AB222" s="3" t="str">
        <f t="shared" si="47"/>
        <v/>
      </c>
      <c r="AC222" s="3"/>
      <c r="AE222" s="3">
        <f t="shared" si="48"/>
        <v>216</v>
      </c>
      <c r="AF222" s="3" t="str">
        <v>Staff: Yutaka Nakamura (Key Animation (OP2))</v>
      </c>
      <c r="AH222" s="3">
        <f t="shared" si="39"/>
        <v>216</v>
      </c>
      <c r="AI222" s="3" t="str">
        <v>Staff Role: ADR Script (English)</v>
      </c>
    </row>
    <row r="223" spans="1:35" x14ac:dyDescent="0.3">
      <c r="A223" t="s">
        <v>341</v>
      </c>
      <c r="B223" s="5">
        <v>75</v>
      </c>
      <c r="C223" s="9">
        <v>4</v>
      </c>
      <c r="D223" s="6">
        <v>5.6219255094869995E-4</v>
      </c>
      <c r="E223" s="7">
        <v>4.2164441321152497E-2</v>
      </c>
      <c r="G223" s="3" t="str">
        <f t="shared" si="40"/>
        <v/>
      </c>
      <c r="H223" s="3"/>
      <c r="J223" s="3" t="str">
        <f t="shared" si="41"/>
        <v/>
      </c>
      <c r="K223" s="3"/>
      <c r="M223" s="3" t="str">
        <f t="shared" si="42"/>
        <v/>
      </c>
      <c r="N223" s="3"/>
      <c r="P223" s="3" t="str">
        <f t="shared" si="43"/>
        <v/>
      </c>
      <c r="Q223" s="3"/>
      <c r="S223" s="3" t="str">
        <f t="shared" si="44"/>
        <v/>
      </c>
      <c r="T223" s="3"/>
      <c r="V223" s="3" t="str">
        <f t="shared" si="45"/>
        <v/>
      </c>
      <c r="W223" s="3"/>
      <c r="Y223" s="3" t="str">
        <f t="shared" si="46"/>
        <v/>
      </c>
      <c r="Z223" s="3"/>
      <c r="AB223" s="3" t="str">
        <f t="shared" si="47"/>
        <v/>
      </c>
      <c r="AC223" s="3"/>
      <c r="AE223" s="3">
        <f t="shared" si="48"/>
        <v>217</v>
      </c>
      <c r="AF223" s="3" t="str">
        <v>Staff: Akira Takada (Key Animation (ep 23))</v>
      </c>
      <c r="AH223" s="3">
        <f t="shared" si="39"/>
        <v>217</v>
      </c>
      <c r="AI223" s="3" t="str">
        <v>Staff Role: Theme Song Composition (OP, ED: ep 10)</v>
      </c>
    </row>
    <row r="224" spans="1:35" x14ac:dyDescent="0.3">
      <c r="A224" t="s">
        <v>559</v>
      </c>
      <c r="B224" s="5">
        <v>75</v>
      </c>
      <c r="C224" s="9">
        <v>4</v>
      </c>
      <c r="D224" s="6">
        <v>5.6219255094869995E-4</v>
      </c>
      <c r="E224" s="7">
        <v>4.2164441321152497E-2</v>
      </c>
      <c r="G224" s="3" t="str">
        <f t="shared" si="40"/>
        <v/>
      </c>
      <c r="H224" s="3"/>
      <c r="J224" s="3" t="str">
        <f t="shared" si="41"/>
        <v/>
      </c>
      <c r="K224" s="3"/>
      <c r="M224" s="3" t="str">
        <f t="shared" si="42"/>
        <v/>
      </c>
      <c r="N224" s="3"/>
      <c r="P224" s="3" t="str">
        <f t="shared" si="43"/>
        <v/>
      </c>
      <c r="Q224" s="3"/>
      <c r="S224" s="3" t="str">
        <f t="shared" si="44"/>
        <v/>
      </c>
      <c r="T224" s="3"/>
      <c r="V224" s="3" t="str">
        <f t="shared" si="45"/>
        <v/>
      </c>
      <c r="W224" s="3"/>
      <c r="Y224" s="3" t="str">
        <f t="shared" si="46"/>
        <v/>
      </c>
      <c r="Z224" s="3"/>
      <c r="AB224" s="3" t="str">
        <f t="shared" si="47"/>
        <v/>
      </c>
      <c r="AC224" s="3"/>
      <c r="AE224" s="3">
        <f t="shared" si="48"/>
        <v>218</v>
      </c>
      <c r="AF224" s="3" t="str">
        <v>Staff: Akira Senju (Music)</v>
      </c>
      <c r="AH224" s="3">
        <f t="shared" si="39"/>
        <v>218</v>
      </c>
      <c r="AI224" s="3" t="str">
        <v>Staff Role: Theme Song Lyrics (OP, ED: ep 10)</v>
      </c>
    </row>
    <row r="225" spans="1:35" x14ac:dyDescent="0.3">
      <c r="A225" t="s">
        <v>628</v>
      </c>
      <c r="B225" s="5">
        <v>75</v>
      </c>
      <c r="C225" s="9">
        <v>4</v>
      </c>
      <c r="D225" s="6">
        <v>5.6219255094869995E-4</v>
      </c>
      <c r="E225" s="7">
        <v>4.2164441321152497E-2</v>
      </c>
      <c r="G225" s="3" t="str">
        <f t="shared" si="40"/>
        <v/>
      </c>
      <c r="H225" s="3"/>
      <c r="J225" s="3" t="str">
        <f t="shared" si="41"/>
        <v/>
      </c>
      <c r="K225" s="3"/>
      <c r="M225" s="3" t="str">
        <f t="shared" si="42"/>
        <v/>
      </c>
      <c r="N225" s="3"/>
      <c r="P225" s="3" t="str">
        <f t="shared" si="43"/>
        <v/>
      </c>
      <c r="Q225" s="3"/>
      <c r="S225" s="3" t="str">
        <f t="shared" si="44"/>
        <v/>
      </c>
      <c r="T225" s="3"/>
      <c r="V225" s="3" t="str">
        <f t="shared" si="45"/>
        <v/>
      </c>
      <c r="W225" s="3"/>
      <c r="Y225" s="3" t="str">
        <f t="shared" si="46"/>
        <v/>
      </c>
      <c r="Z225" s="3"/>
      <c r="AB225" s="3" t="str">
        <f t="shared" si="47"/>
        <v/>
      </c>
      <c r="AC225" s="3"/>
      <c r="AE225" s="3">
        <f t="shared" si="48"/>
        <v>219</v>
      </c>
      <c r="AF225" s="3" t="str">
        <v>Staff: Ryouchimo  (Key Animation (ep 23))</v>
      </c>
      <c r="AH225" s="3">
        <f t="shared" si="39"/>
        <v>219</v>
      </c>
      <c r="AI225" s="3" t="str">
        <v>Staff Role: Theme Song Arrangement (OP, ED: ep 10)</v>
      </c>
    </row>
    <row r="226" spans="1:35" x14ac:dyDescent="0.3">
      <c r="A226" t="s">
        <v>703</v>
      </c>
      <c r="B226" s="5">
        <v>75</v>
      </c>
      <c r="C226" s="9">
        <v>4</v>
      </c>
      <c r="D226" s="6">
        <v>5.6219255094869995E-4</v>
      </c>
      <c r="E226" s="7">
        <v>4.2164441321152497E-2</v>
      </c>
      <c r="G226" s="3" t="str">
        <f t="shared" si="40"/>
        <v/>
      </c>
      <c r="H226" s="3"/>
      <c r="J226" s="3" t="str">
        <f t="shared" si="41"/>
        <v/>
      </c>
      <c r="K226" s="3"/>
      <c r="M226" s="3" t="str">
        <f t="shared" si="42"/>
        <v/>
      </c>
      <c r="N226" s="3"/>
      <c r="P226" s="3" t="str">
        <f t="shared" si="43"/>
        <v/>
      </c>
      <c r="Q226" s="3"/>
      <c r="S226" s="3" t="str">
        <f t="shared" si="44"/>
        <v/>
      </c>
      <c r="T226" s="3"/>
      <c r="V226" s="3" t="str">
        <f t="shared" si="45"/>
        <v/>
      </c>
      <c r="W226" s="3"/>
      <c r="Y226" s="3" t="str">
        <f t="shared" si="46"/>
        <v/>
      </c>
      <c r="Z226" s="3"/>
      <c r="AB226" s="3" t="str">
        <f t="shared" si="47"/>
        <v/>
      </c>
      <c r="AC226" s="3"/>
      <c r="AE226" s="3">
        <f t="shared" si="48"/>
        <v>220</v>
      </c>
      <c r="AF226" s="3" t="str">
        <v>Staff:  SID (Theme Song Performance (OP5))</v>
      </c>
      <c r="AH226" s="3">
        <f t="shared" si="39"/>
        <v>220</v>
      </c>
      <c r="AI226" s="3" t="str">
        <v>Staff Role: Key Animation (eps 8-11)</v>
      </c>
    </row>
    <row r="227" spans="1:35" x14ac:dyDescent="0.3">
      <c r="A227" t="s">
        <v>847</v>
      </c>
      <c r="B227" s="5">
        <v>75</v>
      </c>
      <c r="C227" s="9">
        <v>4</v>
      </c>
      <c r="D227" s="6">
        <v>5.6219255094869995E-4</v>
      </c>
      <c r="E227" s="7">
        <v>4.2164441321152497E-2</v>
      </c>
      <c r="G227" s="3" t="str">
        <f t="shared" si="40"/>
        <v/>
      </c>
      <c r="H227" s="3"/>
      <c r="J227" s="3" t="str">
        <f t="shared" si="41"/>
        <v/>
      </c>
      <c r="K227" s="3"/>
      <c r="M227" s="3" t="str">
        <f t="shared" si="42"/>
        <v/>
      </c>
      <c r="N227" s="3"/>
      <c r="P227" s="3" t="str">
        <f t="shared" si="43"/>
        <v/>
      </c>
      <c r="Q227" s="3"/>
      <c r="S227" s="3" t="str">
        <f t="shared" si="44"/>
        <v/>
      </c>
      <c r="T227" s="3"/>
      <c r="V227" s="3" t="str">
        <f t="shared" si="45"/>
        <v/>
      </c>
      <c r="W227" s="3"/>
      <c r="Y227" s="3" t="str">
        <f t="shared" si="46"/>
        <v/>
      </c>
      <c r="Z227" s="3"/>
      <c r="AB227" s="3" t="str">
        <f t="shared" si="47"/>
        <v/>
      </c>
      <c r="AC227" s="3"/>
      <c r="AE227" s="3">
        <f t="shared" si="48"/>
        <v>221</v>
      </c>
      <c r="AF227" s="3" t="str">
        <v>Staff:  SID (Theme Song Arrangement (OP5))</v>
      </c>
      <c r="AH227" s="3">
        <f t="shared" si="39"/>
        <v>221</v>
      </c>
      <c r="AI227" s="3" t="str">
        <v>Staff Role: Title Logo Design</v>
      </c>
    </row>
    <row r="228" spans="1:35" x14ac:dyDescent="0.3">
      <c r="A228" t="s">
        <v>73</v>
      </c>
      <c r="B228" s="5">
        <v>72.5</v>
      </c>
      <c r="C228" s="9">
        <v>4</v>
      </c>
      <c r="D228" s="6">
        <v>5.6219255094869995E-4</v>
      </c>
      <c r="E228" s="7">
        <v>4.0758959943780697E-2</v>
      </c>
      <c r="G228" s="3" t="str">
        <f t="shared" si="40"/>
        <v/>
      </c>
      <c r="H228" s="3"/>
      <c r="J228" s="3" t="str">
        <f t="shared" si="41"/>
        <v/>
      </c>
      <c r="K228" s="3"/>
      <c r="M228" s="3" t="str">
        <f t="shared" si="42"/>
        <v/>
      </c>
      <c r="N228" s="3"/>
      <c r="P228" s="3" t="str">
        <f t="shared" si="43"/>
        <v/>
      </c>
      <c r="Q228" s="3"/>
      <c r="S228" s="3" t="str">
        <f t="shared" si="44"/>
        <v/>
      </c>
      <c r="T228" s="3"/>
      <c r="V228" s="3" t="str">
        <f t="shared" si="45"/>
        <v/>
      </c>
      <c r="W228" s="3"/>
      <c r="Y228" s="3" t="str">
        <f t="shared" si="46"/>
        <v/>
      </c>
      <c r="Z228" s="3"/>
      <c r="AB228" s="3" t="str">
        <f t="shared" si="47"/>
        <v/>
      </c>
      <c r="AC228" s="3"/>
      <c r="AE228" s="3">
        <f t="shared" si="48"/>
        <v>222</v>
      </c>
      <c r="AF228" s="3" t="str">
        <v>Staff: Kenji Inoue (Original Story)</v>
      </c>
      <c r="AH228" s="3">
        <f t="shared" si="39"/>
        <v>222</v>
      </c>
      <c r="AI228" s="3" t="str">
        <v>Staff Role: Storyboard (OP, eps 1-12)</v>
      </c>
    </row>
    <row r="229" spans="1:35" x14ac:dyDescent="0.3">
      <c r="A229" t="s">
        <v>81</v>
      </c>
      <c r="B229" s="5">
        <v>72.5</v>
      </c>
      <c r="C229" s="9">
        <v>4</v>
      </c>
      <c r="D229" s="6">
        <v>5.6219255094869995E-4</v>
      </c>
      <c r="E229" s="7">
        <v>4.0758959943780697E-2</v>
      </c>
      <c r="G229" s="3" t="str">
        <f t="shared" si="40"/>
        <v/>
      </c>
      <c r="H229" s="3"/>
      <c r="J229" s="3" t="str">
        <f t="shared" si="41"/>
        <v/>
      </c>
      <c r="K229" s="3"/>
      <c r="M229" s="3" t="str">
        <f t="shared" si="42"/>
        <v/>
      </c>
      <c r="N229" s="3"/>
      <c r="P229" s="3" t="str">
        <f t="shared" si="43"/>
        <v/>
      </c>
      <c r="Q229" s="3"/>
      <c r="S229" s="3" t="str">
        <f t="shared" si="44"/>
        <v/>
      </c>
      <c r="T229" s="3"/>
      <c r="V229" s="3" t="str">
        <f t="shared" si="45"/>
        <v/>
      </c>
      <c r="W229" s="3"/>
      <c r="Y229" s="3" t="str">
        <f t="shared" si="46"/>
        <v/>
      </c>
      <c r="Z229" s="3"/>
      <c r="AB229" s="3" t="str">
        <f t="shared" si="47"/>
        <v/>
      </c>
      <c r="AC229" s="3"/>
      <c r="AE229" s="3">
        <f t="shared" si="48"/>
        <v>223</v>
      </c>
      <c r="AF229" s="3" t="str">
        <v>Staff: Kimitake Yoshioka (Original Character Design)</v>
      </c>
      <c r="AH229" s="3">
        <f t="shared" si="39"/>
        <v>223</v>
      </c>
      <c r="AI229" s="3" t="str">
        <v>Staff Role: Key Animation (ep 2, 4, 6)</v>
      </c>
    </row>
    <row r="230" spans="1:35" x14ac:dyDescent="0.3">
      <c r="A230" t="s">
        <v>208</v>
      </c>
      <c r="B230" s="5">
        <v>72.5</v>
      </c>
      <c r="C230" s="9">
        <v>4</v>
      </c>
      <c r="D230" s="6">
        <v>5.6219255094869995E-4</v>
      </c>
      <c r="E230" s="7">
        <v>4.0758959943780697E-2</v>
      </c>
      <c r="G230" s="3" t="str">
        <f t="shared" si="40"/>
        <v/>
      </c>
      <c r="H230" s="3"/>
      <c r="J230" s="3" t="str">
        <f t="shared" si="41"/>
        <v/>
      </c>
      <c r="K230" s="3"/>
      <c r="M230" s="3" t="str">
        <f t="shared" si="42"/>
        <v/>
      </c>
      <c r="N230" s="3"/>
      <c r="P230" s="3" t="str">
        <f t="shared" si="43"/>
        <v/>
      </c>
      <c r="Q230" s="3"/>
      <c r="S230" s="3" t="str">
        <f t="shared" si="44"/>
        <v/>
      </c>
      <c r="T230" s="3"/>
      <c r="V230" s="3" t="str">
        <f t="shared" si="45"/>
        <v/>
      </c>
      <c r="W230" s="3"/>
      <c r="Y230" s="3" t="str">
        <f t="shared" si="46"/>
        <v/>
      </c>
      <c r="Z230" s="3"/>
      <c r="AB230" s="3" t="str">
        <f t="shared" si="47"/>
        <v/>
      </c>
      <c r="AC230" s="3"/>
      <c r="AE230" s="3">
        <f t="shared" si="48"/>
        <v>224</v>
      </c>
      <c r="AF230" s="3" t="str">
        <v>Staff: Shinji Takamatsu (Script (eps 1-8, 10-12))</v>
      </c>
      <c r="AH230" s="3">
        <f t="shared" si="39"/>
        <v>224</v>
      </c>
      <c r="AI230" s="3" t="str">
        <v>Staff Role: Storyboard  (OP)</v>
      </c>
    </row>
    <row r="231" spans="1:35" x14ac:dyDescent="0.3">
      <c r="A231" t="s">
        <v>218</v>
      </c>
      <c r="B231" s="5">
        <v>72.5</v>
      </c>
      <c r="C231" s="9">
        <v>4</v>
      </c>
      <c r="D231" s="6">
        <v>5.6219255094869995E-4</v>
      </c>
      <c r="E231" s="7">
        <v>4.0758959943780697E-2</v>
      </c>
      <c r="G231" s="3" t="str">
        <f t="shared" si="40"/>
        <v/>
      </c>
      <c r="H231" s="3"/>
      <c r="J231" s="3" t="str">
        <f t="shared" si="41"/>
        <v/>
      </c>
      <c r="K231" s="3"/>
      <c r="M231" s="3" t="str">
        <f t="shared" si="42"/>
        <v/>
      </c>
      <c r="N231" s="3"/>
      <c r="P231" s="3" t="str">
        <f t="shared" si="43"/>
        <v/>
      </c>
      <c r="Q231" s="3"/>
      <c r="S231" s="3" t="str">
        <f t="shared" si="44"/>
        <v/>
      </c>
      <c r="T231" s="3"/>
      <c r="V231" s="3" t="str">
        <f t="shared" si="45"/>
        <v/>
      </c>
      <c r="W231" s="3"/>
      <c r="Y231" s="3" t="str">
        <f t="shared" si="46"/>
        <v/>
      </c>
      <c r="Z231" s="3"/>
      <c r="AB231" s="3" t="str">
        <f t="shared" si="47"/>
        <v/>
      </c>
      <c r="AC231" s="3"/>
      <c r="AE231" s="3">
        <f t="shared" si="48"/>
        <v>225</v>
      </c>
      <c r="AF231" s="3" t="str">
        <v>Staff: Hideoki Kusama (Character Design)</v>
      </c>
      <c r="AH231" s="3">
        <f t="shared" si="39"/>
        <v>225</v>
      </c>
      <c r="AI231" s="3" t="str">
        <v>Staff Role: Key Animation  (ep 5)</v>
      </c>
    </row>
    <row r="232" spans="1:35" x14ac:dyDescent="0.3">
      <c r="A232" t="s">
        <v>329</v>
      </c>
      <c r="B232" s="5">
        <v>72.5</v>
      </c>
      <c r="C232" s="9">
        <v>4</v>
      </c>
      <c r="D232" s="6">
        <v>5.6219255094869995E-4</v>
      </c>
      <c r="E232" s="7">
        <v>4.0758959943780697E-2</v>
      </c>
      <c r="G232" s="3" t="str">
        <f t="shared" si="40"/>
        <v/>
      </c>
      <c r="H232" s="3"/>
      <c r="J232" s="3" t="str">
        <f t="shared" si="41"/>
        <v/>
      </c>
      <c r="K232" s="3"/>
      <c r="M232" s="3" t="str">
        <f t="shared" si="42"/>
        <v/>
      </c>
      <c r="N232" s="3"/>
      <c r="P232" s="3" t="str">
        <f t="shared" si="43"/>
        <v/>
      </c>
      <c r="Q232" s="3"/>
      <c r="S232" s="3" t="str">
        <f t="shared" si="44"/>
        <v/>
      </c>
      <c r="T232" s="3"/>
      <c r="V232" s="3" t="str">
        <f t="shared" si="45"/>
        <v/>
      </c>
      <c r="W232" s="3"/>
      <c r="Y232" s="3" t="str">
        <f t="shared" si="46"/>
        <v/>
      </c>
      <c r="Z232" s="3"/>
      <c r="AB232" s="3" t="str">
        <f t="shared" si="47"/>
        <v/>
      </c>
      <c r="AC232" s="3"/>
      <c r="AE232" s="3">
        <f t="shared" si="48"/>
        <v>226</v>
      </c>
      <c r="AF232" s="3" t="str">
        <v>Staff: Hiroyuki Ochi  (Storyboard (ep 6))</v>
      </c>
      <c r="AH232" s="3">
        <f t="shared" si="39"/>
        <v>226</v>
      </c>
      <c r="AI232" s="3" t="str">
        <v>Staff Role: 2nd Key Animation  (ep 2)</v>
      </c>
    </row>
    <row r="233" spans="1:35" x14ac:dyDescent="0.3">
      <c r="A233" t="s">
        <v>360</v>
      </c>
      <c r="B233" s="5">
        <v>72.5</v>
      </c>
      <c r="C233" s="9">
        <v>4</v>
      </c>
      <c r="D233" s="6">
        <v>5.6219255094869995E-4</v>
      </c>
      <c r="E233" s="7">
        <v>4.0758959943780697E-2</v>
      </c>
      <c r="G233" s="3" t="str">
        <f t="shared" si="40"/>
        <v/>
      </c>
      <c r="H233" s="3"/>
      <c r="J233" s="3" t="str">
        <f t="shared" si="41"/>
        <v/>
      </c>
      <c r="K233" s="3"/>
      <c r="M233" s="3" t="str">
        <f t="shared" si="42"/>
        <v/>
      </c>
      <c r="N233" s="3"/>
      <c r="P233" s="3" t="str">
        <f t="shared" si="43"/>
        <v/>
      </c>
      <c r="Q233" s="3"/>
      <c r="S233" s="3" t="str">
        <f t="shared" si="44"/>
        <v/>
      </c>
      <c r="T233" s="3"/>
      <c r="V233" s="3" t="str">
        <f t="shared" si="45"/>
        <v/>
      </c>
      <c r="W233" s="3"/>
      <c r="Y233" s="3" t="str">
        <f t="shared" si="46"/>
        <v/>
      </c>
      <c r="Z233" s="3"/>
      <c r="AB233" s="3" t="str">
        <f t="shared" si="47"/>
        <v/>
      </c>
      <c r="AC233" s="3"/>
      <c r="AE233" s="3">
        <f t="shared" si="48"/>
        <v>227</v>
      </c>
      <c r="AF233" s="3" t="str">
        <v>Staff: Yoshihiro Takamoto (Storyboard (ep 5))</v>
      </c>
      <c r="AH233" s="3">
        <f t="shared" si="39"/>
        <v>227</v>
      </c>
      <c r="AI233" s="3" t="str">
        <v>Staff Role: Animation Director  (OP, ep 1)</v>
      </c>
    </row>
    <row r="234" spans="1:35" x14ac:dyDescent="0.3">
      <c r="A234" t="s">
        <v>364</v>
      </c>
      <c r="B234" s="5">
        <v>72.5</v>
      </c>
      <c r="C234" s="9">
        <v>4</v>
      </c>
      <c r="D234" s="6">
        <v>5.6219255094869995E-4</v>
      </c>
      <c r="E234" s="7">
        <v>4.0758959943780697E-2</v>
      </c>
      <c r="G234" s="3" t="str">
        <f t="shared" si="40"/>
        <v/>
      </c>
      <c r="H234" s="3"/>
      <c r="J234" s="3" t="str">
        <f t="shared" si="41"/>
        <v/>
      </c>
      <c r="K234" s="3"/>
      <c r="M234" s="3" t="str">
        <f t="shared" si="42"/>
        <v/>
      </c>
      <c r="N234" s="3"/>
      <c r="P234" s="3" t="str">
        <f t="shared" si="43"/>
        <v/>
      </c>
      <c r="Q234" s="3"/>
      <c r="S234" s="3" t="str">
        <f t="shared" si="44"/>
        <v/>
      </c>
      <c r="T234" s="3"/>
      <c r="V234" s="3" t="str">
        <f t="shared" si="45"/>
        <v/>
      </c>
      <c r="W234" s="3"/>
      <c r="Y234" s="3" t="str">
        <f t="shared" si="46"/>
        <v/>
      </c>
      <c r="Z234" s="3"/>
      <c r="AB234" s="3" t="str">
        <f t="shared" si="47"/>
        <v/>
      </c>
      <c r="AC234" s="3"/>
      <c r="AE234" s="3">
        <f t="shared" si="48"/>
        <v>228</v>
      </c>
      <c r="AF234" s="3" t="str">
        <v>Staff: Youichi Ueda (Storyboard (eps 8, 12))</v>
      </c>
      <c r="AH234" s="3">
        <f t="shared" si="39"/>
        <v>228</v>
      </c>
      <c r="AI234" s="3" t="str">
        <v>Staff Role: Animation Director  (ED)</v>
      </c>
    </row>
    <row r="235" spans="1:35" x14ac:dyDescent="0.3">
      <c r="A235" t="s">
        <v>381</v>
      </c>
      <c r="B235" s="5">
        <v>72.5</v>
      </c>
      <c r="C235" s="9">
        <v>4</v>
      </c>
      <c r="D235" s="6">
        <v>5.6219255094869995E-4</v>
      </c>
      <c r="E235" s="7">
        <v>4.0758959943780697E-2</v>
      </c>
      <c r="G235" s="3" t="str">
        <f t="shared" si="40"/>
        <v/>
      </c>
      <c r="H235" s="3"/>
      <c r="J235" s="3" t="str">
        <f t="shared" si="41"/>
        <v/>
      </c>
      <c r="K235" s="3"/>
      <c r="M235" s="3" t="str">
        <f t="shared" si="42"/>
        <v/>
      </c>
      <c r="N235" s="3"/>
      <c r="P235" s="3" t="str">
        <f t="shared" si="43"/>
        <v/>
      </c>
      <c r="Q235" s="3"/>
      <c r="S235" s="3" t="str">
        <f t="shared" si="44"/>
        <v/>
      </c>
      <c r="T235" s="3"/>
      <c r="V235" s="3" t="str">
        <f t="shared" si="45"/>
        <v/>
      </c>
      <c r="W235" s="3"/>
      <c r="Y235" s="3" t="str">
        <f t="shared" si="46"/>
        <v/>
      </c>
      <c r="Z235" s="3"/>
      <c r="AB235" s="3" t="str">
        <f t="shared" si="47"/>
        <v/>
      </c>
      <c r="AC235" s="3"/>
      <c r="AE235" s="3">
        <f t="shared" si="48"/>
        <v>229</v>
      </c>
      <c r="AF235" s="3" t="str">
        <v>Staff: Atsuko Tonomizu (Episode Director (eps 2, 9))</v>
      </c>
      <c r="AH235" s="3">
        <f t="shared" si="39"/>
        <v>229</v>
      </c>
      <c r="AI235" s="3" t="str">
        <v>Staff Role: Storyboard (1, 2, 5)</v>
      </c>
    </row>
    <row r="236" spans="1:35" x14ac:dyDescent="0.3">
      <c r="A236" t="s">
        <v>528</v>
      </c>
      <c r="B236" s="5">
        <v>72.5</v>
      </c>
      <c r="C236" s="9">
        <v>4</v>
      </c>
      <c r="D236" s="6">
        <v>5.6219255094869995E-4</v>
      </c>
      <c r="E236" s="7">
        <v>4.0758959943780697E-2</v>
      </c>
      <c r="G236" s="3" t="str">
        <f t="shared" si="40"/>
        <v/>
      </c>
      <c r="H236" s="3"/>
      <c r="J236" s="3" t="str">
        <f t="shared" si="41"/>
        <v/>
      </c>
      <c r="K236" s="3"/>
      <c r="M236" s="3" t="str">
        <f t="shared" si="42"/>
        <v/>
      </c>
      <c r="N236" s="3"/>
      <c r="P236" s="3" t="str">
        <f t="shared" si="43"/>
        <v/>
      </c>
      <c r="Q236" s="3"/>
      <c r="S236" s="3" t="str">
        <f t="shared" si="44"/>
        <v/>
      </c>
      <c r="T236" s="3"/>
      <c r="V236" s="3" t="str">
        <f t="shared" si="45"/>
        <v/>
      </c>
      <c r="W236" s="3"/>
      <c r="Y236" s="3" t="str">
        <f t="shared" si="46"/>
        <v/>
      </c>
      <c r="Z236" s="3"/>
      <c r="AB236" s="3" t="str">
        <f t="shared" si="47"/>
        <v/>
      </c>
      <c r="AC236" s="3"/>
      <c r="AE236" s="3">
        <f t="shared" si="48"/>
        <v>230</v>
      </c>
      <c r="AF236" s="3" t="str">
        <v>Staff: Hiroshi Kugimiya (Storyboard (ep 4))</v>
      </c>
      <c r="AH236" s="3">
        <f t="shared" si="39"/>
        <v>230</v>
      </c>
      <c r="AI236" s="3" t="str">
        <v>Staff Role: Episode Director  (1, 2, 5, OP)</v>
      </c>
    </row>
    <row r="237" spans="1:35" x14ac:dyDescent="0.3">
      <c r="A237" t="s">
        <v>534</v>
      </c>
      <c r="B237" s="5">
        <v>72.5</v>
      </c>
      <c r="C237" s="9">
        <v>4</v>
      </c>
      <c r="D237" s="6">
        <v>5.6219255094869995E-4</v>
      </c>
      <c r="E237" s="7">
        <v>4.0758959943780697E-2</v>
      </c>
      <c r="G237" s="3" t="str">
        <f t="shared" si="40"/>
        <v/>
      </c>
      <c r="H237" s="3"/>
      <c r="J237" s="3" t="str">
        <f t="shared" si="41"/>
        <v/>
      </c>
      <c r="K237" s="3"/>
      <c r="M237" s="3" t="str">
        <f t="shared" si="42"/>
        <v/>
      </c>
      <c r="N237" s="3"/>
      <c r="P237" s="3" t="str">
        <f t="shared" si="43"/>
        <v/>
      </c>
      <c r="Q237" s="3"/>
      <c r="S237" s="3" t="str">
        <f t="shared" si="44"/>
        <v/>
      </c>
      <c r="T237" s="3"/>
      <c r="V237" s="3" t="str">
        <f t="shared" si="45"/>
        <v/>
      </c>
      <c r="W237" s="3"/>
      <c r="Y237" s="3" t="str">
        <f t="shared" si="46"/>
        <v/>
      </c>
      <c r="Z237" s="3"/>
      <c r="AB237" s="3" t="str">
        <f t="shared" si="47"/>
        <v/>
      </c>
      <c r="AC237" s="3"/>
      <c r="AE237" s="3">
        <f t="shared" si="48"/>
        <v>231</v>
      </c>
      <c r="AF237" s="3" t="str">
        <v>Staff: Ryouta Kawahara (Episode Director (ep 4))</v>
      </c>
      <c r="AH237" s="3">
        <f t="shared" si="39"/>
        <v>231</v>
      </c>
      <c r="AI237" s="3" t="str">
        <v>Staff Role: Theme Song Performance (ep. 1-11)</v>
      </c>
    </row>
    <row r="238" spans="1:35" x14ac:dyDescent="0.3">
      <c r="A238" t="s">
        <v>567</v>
      </c>
      <c r="B238" s="5">
        <v>72.5</v>
      </c>
      <c r="C238" s="9">
        <v>4</v>
      </c>
      <c r="D238" s="6">
        <v>5.6219255094869995E-4</v>
      </c>
      <c r="E238" s="7">
        <v>4.0758959943780697E-2</v>
      </c>
      <c r="G238" s="3" t="str">
        <f t="shared" si="40"/>
        <v/>
      </c>
      <c r="H238" s="3"/>
      <c r="J238" s="3" t="str">
        <f t="shared" si="41"/>
        <v/>
      </c>
      <c r="K238" s="3"/>
      <c r="M238" s="3" t="str">
        <f t="shared" si="42"/>
        <v/>
      </c>
      <c r="N238" s="3"/>
      <c r="P238" s="3" t="str">
        <f t="shared" si="43"/>
        <v/>
      </c>
      <c r="Q238" s="3"/>
      <c r="S238" s="3" t="str">
        <f t="shared" si="44"/>
        <v/>
      </c>
      <c r="T238" s="3"/>
      <c r="V238" s="3" t="str">
        <f t="shared" si="45"/>
        <v/>
      </c>
      <c r="W238" s="3"/>
      <c r="Y238" s="3" t="str">
        <f t="shared" si="46"/>
        <v/>
      </c>
      <c r="Z238" s="3"/>
      <c r="AB238" s="3" t="str">
        <f t="shared" si="47"/>
        <v/>
      </c>
      <c r="AC238" s="3"/>
      <c r="AE238" s="3">
        <f t="shared" si="48"/>
        <v>232</v>
      </c>
      <c r="AF238" s="3" t="str">
        <v>Staff: Masaki Utsunomiya (Assistant Episode Director (ep 3))</v>
      </c>
      <c r="AH238" s="3">
        <f t="shared" si="39"/>
        <v>232</v>
      </c>
      <c r="AI238" s="3" t="str">
        <v>Staff Role: Chief Episode Director</v>
      </c>
    </row>
    <row r="239" spans="1:35" x14ac:dyDescent="0.3">
      <c r="A239" t="s">
        <v>593</v>
      </c>
      <c r="B239" s="5">
        <v>72.5</v>
      </c>
      <c r="C239" s="9">
        <v>4</v>
      </c>
      <c r="D239" s="6">
        <v>5.6219255094869995E-4</v>
      </c>
      <c r="E239" s="7">
        <v>4.0758959943780697E-2</v>
      </c>
      <c r="G239" s="3" t="str">
        <f t="shared" si="40"/>
        <v/>
      </c>
      <c r="H239" s="3"/>
      <c r="J239" s="3" t="str">
        <f t="shared" si="41"/>
        <v/>
      </c>
      <c r="K239" s="3"/>
      <c r="M239" s="3" t="str">
        <f t="shared" si="42"/>
        <v/>
      </c>
      <c r="N239" s="3"/>
      <c r="P239" s="3" t="str">
        <f t="shared" si="43"/>
        <v/>
      </c>
      <c r="Q239" s="3"/>
      <c r="S239" s="3" t="str">
        <f t="shared" si="44"/>
        <v/>
      </c>
      <c r="T239" s="3"/>
      <c r="V239" s="3" t="str">
        <f t="shared" si="45"/>
        <v/>
      </c>
      <c r="W239" s="3"/>
      <c r="Y239" s="3" t="str">
        <f t="shared" si="46"/>
        <v/>
      </c>
      <c r="Z239" s="3"/>
      <c r="AB239" s="3" t="str">
        <f t="shared" si="47"/>
        <v/>
      </c>
      <c r="AC239" s="3"/>
      <c r="AE239" s="3">
        <f t="shared" si="48"/>
        <v>233</v>
      </c>
      <c r="AF239" s="3" t="str">
        <v>Staff: Nanako  Shimazaki (Episode Director (ep 10))</v>
      </c>
      <c r="AH239" s="3">
        <f t="shared" si="39"/>
        <v>233</v>
      </c>
      <c r="AI239" s="3" t="str">
        <v>Staff Role: Insert Manga Production</v>
      </c>
    </row>
    <row r="240" spans="1:35" x14ac:dyDescent="0.3">
      <c r="A240" t="s">
        <v>4</v>
      </c>
      <c r="B240" s="5">
        <v>70</v>
      </c>
      <c r="C240" s="9">
        <v>4</v>
      </c>
      <c r="D240" s="6">
        <v>5.6219255094869995E-4</v>
      </c>
      <c r="E240" s="7">
        <v>3.9353478566408903E-2</v>
      </c>
      <c r="G240" s="3" t="str">
        <f t="shared" si="40"/>
        <v/>
      </c>
      <c r="H240" s="3"/>
      <c r="J240" s="3" t="str">
        <f t="shared" si="41"/>
        <v/>
      </c>
      <c r="K240" s="3"/>
      <c r="M240" s="3" t="str">
        <f t="shared" si="42"/>
        <v/>
      </c>
      <c r="N240" s="3"/>
      <c r="P240" s="3" t="str">
        <f t="shared" si="43"/>
        <v/>
      </c>
      <c r="Q240" s="3"/>
      <c r="S240" s="3" t="str">
        <f t="shared" si="44"/>
        <v/>
      </c>
      <c r="T240" s="3"/>
      <c r="V240" s="3" t="str">
        <f t="shared" si="45"/>
        <v/>
      </c>
      <c r="W240" s="3"/>
      <c r="Y240" s="3" t="str">
        <f t="shared" si="46"/>
        <v/>
      </c>
      <c r="Z240" s="3"/>
      <c r="AB240" s="3" t="str">
        <f t="shared" si="47"/>
        <v/>
      </c>
      <c r="AC240" s="3"/>
      <c r="AE240" s="3">
        <f t="shared" si="48"/>
        <v>234</v>
      </c>
      <c r="AF240" s="3" t="str">
        <v>Staff: Miyako Nishida (Animation Director (ep 5))</v>
      </c>
      <c r="AH240" s="3">
        <f t="shared" si="39"/>
        <v>234</v>
      </c>
      <c r="AI240" s="3" t="str">
        <v>Staff Role: Episode Director (ep 1)</v>
      </c>
    </row>
    <row r="241" spans="1:35" x14ac:dyDescent="0.3">
      <c r="A241" t="s">
        <v>10</v>
      </c>
      <c r="B241" s="5">
        <v>70</v>
      </c>
      <c r="C241" s="9">
        <v>4</v>
      </c>
      <c r="D241" s="6">
        <v>5.6219255094869995E-4</v>
      </c>
      <c r="E241" s="7">
        <v>3.9353478566408903E-2</v>
      </c>
      <c r="G241" s="3" t="str">
        <f t="shared" si="40"/>
        <v/>
      </c>
      <c r="H241" s="3"/>
      <c r="J241" s="3" t="str">
        <f t="shared" si="41"/>
        <v/>
      </c>
      <c r="K241" s="3"/>
      <c r="M241" s="3" t="str">
        <f t="shared" si="42"/>
        <v/>
      </c>
      <c r="N241" s="3"/>
      <c r="P241" s="3" t="str">
        <f t="shared" si="43"/>
        <v/>
      </c>
      <c r="Q241" s="3"/>
      <c r="S241" s="3" t="str">
        <f t="shared" si="44"/>
        <v/>
      </c>
      <c r="T241" s="3"/>
      <c r="V241" s="3" t="str">
        <f t="shared" si="45"/>
        <v/>
      </c>
      <c r="W241" s="3"/>
      <c r="Y241" s="3" t="str">
        <f t="shared" si="46"/>
        <v/>
      </c>
      <c r="Z241" s="3"/>
      <c r="AB241" s="3" t="str">
        <f t="shared" si="47"/>
        <v/>
      </c>
      <c r="AC241" s="3"/>
      <c r="AE241" s="3">
        <f t="shared" si="48"/>
        <v>235</v>
      </c>
      <c r="AF241" s="3" t="str">
        <v>Staff: Yoshihisa Matsumoto (Episode Director (eps 5, 8))</v>
      </c>
      <c r="AH241" s="3">
        <f t="shared" si="39"/>
        <v>235</v>
      </c>
      <c r="AI241" s="3" t="str">
        <v>Staff Role: Animation Director (ep 2)</v>
      </c>
    </row>
    <row r="242" spans="1:35" x14ac:dyDescent="0.3">
      <c r="A242" t="s">
        <v>113</v>
      </c>
      <c r="B242" s="5">
        <v>70</v>
      </c>
      <c r="C242" s="9">
        <v>4</v>
      </c>
      <c r="D242" s="6">
        <v>5.6219255094869995E-4</v>
      </c>
      <c r="E242" s="7">
        <v>3.9353478566408903E-2</v>
      </c>
      <c r="G242" s="3" t="str">
        <f t="shared" si="40"/>
        <v/>
      </c>
      <c r="H242" s="3"/>
      <c r="J242" s="3" t="str">
        <f t="shared" si="41"/>
        <v/>
      </c>
      <c r="K242" s="3"/>
      <c r="M242" s="3" t="str">
        <f t="shared" si="42"/>
        <v/>
      </c>
      <c r="N242" s="3"/>
      <c r="P242" s="3" t="str">
        <f t="shared" si="43"/>
        <v/>
      </c>
      <c r="Q242" s="3"/>
      <c r="S242" s="3" t="str">
        <f t="shared" si="44"/>
        <v/>
      </c>
      <c r="T242" s="3"/>
      <c r="V242" s="3" t="str">
        <f t="shared" si="45"/>
        <v/>
      </c>
      <c r="W242" s="3"/>
      <c r="Y242" s="3" t="str">
        <f t="shared" si="46"/>
        <v/>
      </c>
      <c r="Z242" s="3"/>
      <c r="AB242" s="3" t="str">
        <f t="shared" si="47"/>
        <v/>
      </c>
      <c r="AC242" s="3"/>
      <c r="AE242" s="3">
        <f t="shared" si="48"/>
        <v>236</v>
      </c>
      <c r="AF242" s="3" t="str">
        <v>Staff: Kenji Inoue (Script (ep 9))</v>
      </c>
      <c r="AH242" s="3">
        <f t="shared" si="39"/>
        <v>236</v>
      </c>
      <c r="AI242" s="3" t="str">
        <v>Staff Role: Animal Animation Director (ep 1, 2)</v>
      </c>
    </row>
    <row r="243" spans="1:35" x14ac:dyDescent="0.3">
      <c r="A243" t="s">
        <v>116</v>
      </c>
      <c r="B243" s="5">
        <v>70</v>
      </c>
      <c r="C243" s="9">
        <v>4</v>
      </c>
      <c r="D243" s="6">
        <v>5.6219255094869995E-4</v>
      </c>
      <c r="E243" s="7">
        <v>3.9353478566408903E-2</v>
      </c>
      <c r="G243" s="3" t="str">
        <f t="shared" si="40"/>
        <v/>
      </c>
      <c r="H243" s="3"/>
      <c r="J243" s="3" t="str">
        <f t="shared" si="41"/>
        <v/>
      </c>
      <c r="K243" s="3"/>
      <c r="M243" s="3" t="str">
        <f t="shared" si="42"/>
        <v/>
      </c>
      <c r="N243" s="3"/>
      <c r="P243" s="3" t="str">
        <f t="shared" si="43"/>
        <v/>
      </c>
      <c r="Q243" s="3"/>
      <c r="S243" s="3" t="str">
        <f t="shared" si="44"/>
        <v/>
      </c>
      <c r="T243" s="3"/>
      <c r="V243" s="3" t="str">
        <f t="shared" si="45"/>
        <v/>
      </c>
      <c r="W243" s="3"/>
      <c r="Y243" s="3" t="str">
        <f t="shared" si="46"/>
        <v/>
      </c>
      <c r="Z243" s="3"/>
      <c r="AB243" s="3" t="str">
        <f t="shared" si="47"/>
        <v/>
      </c>
      <c r="AC243" s="3"/>
      <c r="AE243" s="3">
        <f t="shared" si="48"/>
        <v>237</v>
      </c>
      <c r="AF243" s="3" t="str">
        <v>Staff: Kenji Kumamoto (Storyboard (ep 3))</v>
      </c>
      <c r="AH243" s="3">
        <f t="shared" si="39"/>
        <v>237</v>
      </c>
      <c r="AI243" s="3" t="str">
        <v>Staff Role: Script (eps 7, 13)</v>
      </c>
    </row>
    <row r="244" spans="1:35" x14ac:dyDescent="0.3">
      <c r="A244" t="s">
        <v>148</v>
      </c>
      <c r="B244" s="5">
        <v>70</v>
      </c>
      <c r="C244" s="9">
        <v>4</v>
      </c>
      <c r="D244" s="6">
        <v>5.6219255094869995E-4</v>
      </c>
      <c r="E244" s="7">
        <v>3.9353478566408903E-2</v>
      </c>
      <c r="G244" s="3" t="str">
        <f t="shared" si="40"/>
        <v/>
      </c>
      <c r="H244" s="3"/>
      <c r="J244" s="3" t="str">
        <f t="shared" si="41"/>
        <v/>
      </c>
      <c r="K244" s="3"/>
      <c r="M244" s="3" t="str">
        <f t="shared" si="42"/>
        <v/>
      </c>
      <c r="N244" s="3"/>
      <c r="P244" s="3" t="str">
        <f t="shared" si="43"/>
        <v/>
      </c>
      <c r="Q244" s="3"/>
      <c r="S244" s="3" t="str">
        <f t="shared" si="44"/>
        <v/>
      </c>
      <c r="T244" s="3"/>
      <c r="V244" s="3" t="str">
        <f t="shared" si="45"/>
        <v/>
      </c>
      <c r="W244" s="3"/>
      <c r="Y244" s="3" t="str">
        <f t="shared" si="46"/>
        <v/>
      </c>
      <c r="Z244" s="3"/>
      <c r="AB244" s="3" t="str">
        <f t="shared" si="47"/>
        <v/>
      </c>
      <c r="AC244" s="3"/>
      <c r="AE244" s="3">
        <f t="shared" si="48"/>
        <v>238</v>
      </c>
      <c r="AF244" s="3" t="str">
        <v>Staff: Miyana Okita (Storyboard (ep 11))</v>
      </c>
      <c r="AH244" s="3">
        <f t="shared" si="39"/>
        <v>238</v>
      </c>
      <c r="AI244" s="3" t="str">
        <v>Staff Role: Script (eps 1-6, 8-12)</v>
      </c>
    </row>
    <row r="245" spans="1:35" x14ac:dyDescent="0.3">
      <c r="A245" t="s">
        <v>165</v>
      </c>
      <c r="B245" s="5">
        <v>70</v>
      </c>
      <c r="C245" s="9">
        <v>4</v>
      </c>
      <c r="D245" s="6">
        <v>5.6219255094869995E-4</v>
      </c>
      <c r="E245" s="7">
        <v>3.9353478566408903E-2</v>
      </c>
      <c r="G245" s="3" t="str">
        <f t="shared" si="40"/>
        <v/>
      </c>
      <c r="H245" s="3"/>
      <c r="J245" s="3" t="str">
        <f t="shared" si="41"/>
        <v/>
      </c>
      <c r="K245" s="3"/>
      <c r="M245" s="3" t="str">
        <f t="shared" si="42"/>
        <v/>
      </c>
      <c r="N245" s="3"/>
      <c r="P245" s="3" t="str">
        <f t="shared" si="43"/>
        <v/>
      </c>
      <c r="Q245" s="3"/>
      <c r="S245" s="3" t="str">
        <f t="shared" si="44"/>
        <v/>
      </c>
      <c r="T245" s="3"/>
      <c r="V245" s="3" t="str">
        <f t="shared" si="45"/>
        <v/>
      </c>
      <c r="W245" s="3"/>
      <c r="Y245" s="3" t="str">
        <f t="shared" si="46"/>
        <v/>
      </c>
      <c r="Z245" s="3"/>
      <c r="AB245" s="3" t="str">
        <f t="shared" si="47"/>
        <v/>
      </c>
      <c r="AC245" s="3"/>
      <c r="AE245" s="3">
        <f t="shared" si="48"/>
        <v>239</v>
      </c>
      <c r="AF245" s="3" t="str">
        <v>Staff: Shinji Takamatsu (Storyboard (OP, ED, ep 1))</v>
      </c>
      <c r="AH245" s="3">
        <f t="shared" si="39"/>
        <v>239</v>
      </c>
      <c r="AI245" s="3" t="str">
        <v>Staff Role: Chief Animation Director (eps 1-8, 10-13)</v>
      </c>
    </row>
    <row r="246" spans="1:35" x14ac:dyDescent="0.3">
      <c r="A246" t="s">
        <v>287</v>
      </c>
      <c r="B246" s="5">
        <v>70</v>
      </c>
      <c r="C246" s="9">
        <v>4</v>
      </c>
      <c r="D246" s="6">
        <v>5.6219255094869995E-4</v>
      </c>
      <c r="E246" s="7">
        <v>3.9353478566408903E-2</v>
      </c>
      <c r="G246" s="3" t="str">
        <f t="shared" si="40"/>
        <v/>
      </c>
      <c r="H246" s="3"/>
      <c r="J246" s="3" t="str">
        <f t="shared" si="41"/>
        <v/>
      </c>
      <c r="K246" s="3"/>
      <c r="M246" s="3" t="str">
        <f t="shared" si="42"/>
        <v/>
      </c>
      <c r="N246" s="3"/>
      <c r="P246" s="3" t="str">
        <f t="shared" si="43"/>
        <v/>
      </c>
      <c r="Q246" s="3"/>
      <c r="S246" s="3" t="str">
        <f t="shared" si="44"/>
        <v/>
      </c>
      <c r="T246" s="3"/>
      <c r="V246" s="3" t="str">
        <f t="shared" si="45"/>
        <v/>
      </c>
      <c r="W246" s="3"/>
      <c r="Y246" s="3" t="str">
        <f t="shared" si="46"/>
        <v/>
      </c>
      <c r="Z246" s="3"/>
      <c r="AB246" s="3" t="str">
        <f t="shared" si="47"/>
        <v/>
      </c>
      <c r="AC246" s="3"/>
      <c r="AE246" s="3">
        <f t="shared" si="48"/>
        <v>240</v>
      </c>
      <c r="AF246" s="3" t="str">
        <v>Staff: Takashi Kobayashi (Episode Director (ep 7))</v>
      </c>
      <c r="AH246" s="3">
        <f t="shared" si="39"/>
        <v>240</v>
      </c>
      <c r="AI246" s="3" t="str">
        <v>Staff Role: Chief Animation Director (ep 1-5, 7, 9, 10, 12)</v>
      </c>
    </row>
    <row r="247" spans="1:35" x14ac:dyDescent="0.3">
      <c r="A247" t="s">
        <v>518</v>
      </c>
      <c r="B247" s="5">
        <v>70</v>
      </c>
      <c r="C247" s="9">
        <v>4</v>
      </c>
      <c r="D247" s="6">
        <v>5.6219255094869995E-4</v>
      </c>
      <c r="E247" s="7">
        <v>3.9353478566408903E-2</v>
      </c>
      <c r="G247" s="3" t="str">
        <f t="shared" si="40"/>
        <v/>
      </c>
      <c r="H247" s="3"/>
      <c r="J247" s="3" t="str">
        <f t="shared" si="41"/>
        <v/>
      </c>
      <c r="K247" s="3"/>
      <c r="M247" s="3" t="str">
        <f t="shared" si="42"/>
        <v/>
      </c>
      <c r="N247" s="3"/>
      <c r="P247" s="3" t="str">
        <f t="shared" si="43"/>
        <v/>
      </c>
      <c r="Q247" s="3"/>
      <c r="S247" s="3" t="str">
        <f t="shared" si="44"/>
        <v/>
      </c>
      <c r="T247" s="3"/>
      <c r="V247" s="3" t="str">
        <f t="shared" si="45"/>
        <v/>
      </c>
      <c r="W247" s="3"/>
      <c r="Y247" s="3" t="str">
        <f t="shared" si="46"/>
        <v/>
      </c>
      <c r="Z247" s="3"/>
      <c r="AB247" s="3" t="str">
        <f t="shared" si="47"/>
        <v/>
      </c>
      <c r="AC247" s="3"/>
      <c r="AE247" s="3">
        <f t="shared" si="48"/>
        <v>241</v>
      </c>
      <c r="AF247" s="3" t="str">
        <v>Staff: Takashi Sogabe (Animation Director (eps 2, 9))</v>
      </c>
      <c r="AH247" s="3">
        <f t="shared" si="39"/>
        <v>241</v>
      </c>
      <c r="AI247" s="3" t="str">
        <v>Staff Role: Chief Animation Director (eps 6, 8, 10, 11)</v>
      </c>
    </row>
    <row r="248" spans="1:35" x14ac:dyDescent="0.3">
      <c r="A248" t="s">
        <v>631</v>
      </c>
      <c r="B248" s="5">
        <v>70</v>
      </c>
      <c r="C248" s="9">
        <v>4</v>
      </c>
      <c r="D248" s="6">
        <v>5.6219255094869995E-4</v>
      </c>
      <c r="E248" s="7">
        <v>3.9353478566408903E-2</v>
      </c>
      <c r="G248" s="3" t="str">
        <f t="shared" si="40"/>
        <v/>
      </c>
      <c r="H248" s="3"/>
      <c r="J248" s="3" t="str">
        <f t="shared" si="41"/>
        <v/>
      </c>
      <c r="K248" s="3"/>
      <c r="M248" s="3" t="str">
        <f t="shared" si="42"/>
        <v/>
      </c>
      <c r="N248" s="3"/>
      <c r="P248" s="3" t="str">
        <f t="shared" si="43"/>
        <v/>
      </c>
      <c r="Q248" s="3"/>
      <c r="S248" s="3" t="str">
        <f t="shared" si="44"/>
        <v/>
      </c>
      <c r="T248" s="3"/>
      <c r="V248" s="3" t="str">
        <f t="shared" si="45"/>
        <v/>
      </c>
      <c r="W248" s="3"/>
      <c r="Y248" s="3" t="str">
        <f t="shared" si="46"/>
        <v/>
      </c>
      <c r="Z248" s="3"/>
      <c r="AB248" s="3" t="str">
        <f t="shared" si="47"/>
        <v/>
      </c>
      <c r="AC248" s="3"/>
      <c r="AE248" s="3">
        <f t="shared" si="48"/>
        <v>242</v>
      </c>
      <c r="AF248" s="3" t="str">
        <v>Staff: Shinji Takamatsu (Episode Director (OP, ED, ep 1))</v>
      </c>
      <c r="AH248" s="3">
        <f t="shared" si="39"/>
        <v>242</v>
      </c>
      <c r="AI248" s="3" t="str">
        <v>Staff Role: Insert Song Performance  (6)</v>
      </c>
    </row>
    <row r="249" spans="1:35" x14ac:dyDescent="0.3">
      <c r="A249" t="s">
        <v>634</v>
      </c>
      <c r="B249" s="5">
        <v>70</v>
      </c>
      <c r="C249" s="9">
        <v>4</v>
      </c>
      <c r="D249" s="6">
        <v>5.6219255094869995E-4</v>
      </c>
      <c r="E249" s="7">
        <v>3.9353478566408903E-2</v>
      </c>
      <c r="G249" s="3" t="str">
        <f t="shared" si="40"/>
        <v/>
      </c>
      <c r="H249" s="3"/>
      <c r="J249" s="3" t="str">
        <f t="shared" si="41"/>
        <v/>
      </c>
      <c r="K249" s="3"/>
      <c r="M249" s="3" t="str">
        <f t="shared" si="42"/>
        <v/>
      </c>
      <c r="N249" s="3"/>
      <c r="P249" s="3" t="str">
        <f t="shared" si="43"/>
        <v/>
      </c>
      <c r="Q249" s="3"/>
      <c r="S249" s="3" t="str">
        <f t="shared" si="44"/>
        <v/>
      </c>
      <c r="T249" s="3"/>
      <c r="V249" s="3" t="str">
        <f t="shared" si="45"/>
        <v/>
      </c>
      <c r="W249" s="3"/>
      <c r="Y249" s="3" t="str">
        <f t="shared" si="46"/>
        <v/>
      </c>
      <c r="Z249" s="3"/>
      <c r="AB249" s="3" t="str">
        <f t="shared" si="47"/>
        <v/>
      </c>
      <c r="AC249" s="3"/>
      <c r="AE249" s="3">
        <f t="shared" si="48"/>
        <v>243</v>
      </c>
      <c r="AF249" s="3" t="str">
        <v>Staff: Takayuki Onoda (Animation Director (eps 1, 7, 12))</v>
      </c>
      <c r="AH249" s="3">
        <f t="shared" si="39"/>
        <v>243</v>
      </c>
      <c r="AI249" s="3" t="str">
        <v>Staff Role: Episode Director  (ep 1)</v>
      </c>
    </row>
    <row r="250" spans="1:35" x14ac:dyDescent="0.3">
      <c r="A250" t="s">
        <v>675</v>
      </c>
      <c r="B250" s="5">
        <v>70</v>
      </c>
      <c r="C250" s="9">
        <v>4</v>
      </c>
      <c r="D250" s="6">
        <v>5.6219255094869995E-4</v>
      </c>
      <c r="E250" s="7">
        <v>3.9353478566408903E-2</v>
      </c>
      <c r="G250" s="3" t="str">
        <f t="shared" si="40"/>
        <v/>
      </c>
      <c r="H250" s="3"/>
      <c r="J250" s="3" t="str">
        <f t="shared" si="41"/>
        <v/>
      </c>
      <c r="K250" s="3"/>
      <c r="M250" s="3" t="str">
        <f t="shared" si="42"/>
        <v/>
      </c>
      <c r="N250" s="3"/>
      <c r="P250" s="3" t="str">
        <f t="shared" si="43"/>
        <v/>
      </c>
      <c r="Q250" s="3"/>
      <c r="S250" s="3" t="str">
        <f t="shared" si="44"/>
        <v/>
      </c>
      <c r="T250" s="3"/>
      <c r="V250" s="3" t="str">
        <f t="shared" si="45"/>
        <v/>
      </c>
      <c r="W250" s="3"/>
      <c r="Y250" s="3" t="str">
        <f t="shared" si="46"/>
        <v/>
      </c>
      <c r="Z250" s="3"/>
      <c r="AB250" s="3" t="str">
        <f t="shared" si="47"/>
        <v/>
      </c>
      <c r="AC250" s="3"/>
      <c r="AE250" s="3">
        <f t="shared" si="48"/>
        <v>244</v>
      </c>
      <c r="AF250" s="3" t="str">
        <v>Staff: Ryouichi Kuraya (Assistant Episode Director (ep 7))</v>
      </c>
      <c r="AH250" s="3">
        <f t="shared" si="39"/>
        <v>244</v>
      </c>
      <c r="AI250" s="3" t="str">
        <v>Staff Role: Storyboard  (eps 1-3)</v>
      </c>
    </row>
    <row r="251" spans="1:35" x14ac:dyDescent="0.3">
      <c r="A251" t="str">
        <f>HYPERLINK("https://anilist.co/staff/101549","Staff: Satoshi Motoyama (Sound Director)")</f>
        <v>Staff: Satoshi Motoyama (Sound Director)</v>
      </c>
      <c r="B251" s="5">
        <v>70</v>
      </c>
      <c r="C251" s="9">
        <v>4</v>
      </c>
      <c r="D251" s="6">
        <v>5.6219255094869995E-4</v>
      </c>
      <c r="E251" s="7">
        <v>3.9353478566408903E-2</v>
      </c>
      <c r="G251" s="3" t="str">
        <f t="shared" si="40"/>
        <v/>
      </c>
      <c r="H251" s="3"/>
      <c r="J251" s="3" t="str">
        <f t="shared" si="41"/>
        <v/>
      </c>
      <c r="K251" s="3"/>
      <c r="M251" s="3" t="str">
        <f t="shared" si="42"/>
        <v/>
      </c>
      <c r="N251" s="3"/>
      <c r="P251" s="3" t="str">
        <f t="shared" si="43"/>
        <v/>
      </c>
      <c r="Q251" s="3"/>
      <c r="S251" s="3" t="str">
        <f t="shared" si="44"/>
        <v/>
      </c>
      <c r="T251" s="3"/>
      <c r="V251" s="3" t="str">
        <f t="shared" si="45"/>
        <v/>
      </c>
      <c r="W251" s="3"/>
      <c r="Y251" s="3" t="str">
        <f t="shared" si="46"/>
        <v/>
      </c>
      <c r="Z251" s="3"/>
      <c r="AB251" s="3" t="str">
        <f t="shared" si="47"/>
        <v/>
      </c>
      <c r="AC251" s="3"/>
      <c r="AE251" s="3">
        <f t="shared" si="48"/>
        <v>245</v>
      </c>
      <c r="AF251" s="3" t="str">
        <v>Staff: Takahiro Yoshimatsu (Character Design (eps 1-87))</v>
      </c>
      <c r="AH251" s="3">
        <f t="shared" si="39"/>
        <v>245</v>
      </c>
      <c r="AI251" s="3" t="str">
        <v>Staff Role: Episode Director  (ep 12)</v>
      </c>
    </row>
    <row r="252" spans="1:35" x14ac:dyDescent="0.3">
      <c r="A252" t="str">
        <f>HYPERLINK("https://anilist.co/staff/103110","Staff: Yasunori Ebina (Sound Director)")</f>
        <v>Staff: Yasunori Ebina (Sound Director)</v>
      </c>
      <c r="B252" s="5">
        <v>70</v>
      </c>
      <c r="C252" s="9">
        <v>4</v>
      </c>
      <c r="D252" s="6">
        <v>5.6219255094869995E-4</v>
      </c>
      <c r="E252" s="7">
        <v>3.9353478566408903E-2</v>
      </c>
      <c r="G252" s="3" t="str">
        <f t="shared" si="40"/>
        <v/>
      </c>
      <c r="H252" s="3"/>
      <c r="J252" s="3" t="str">
        <f t="shared" si="41"/>
        <v/>
      </c>
      <c r="K252" s="3"/>
      <c r="M252" s="3" t="str">
        <f t="shared" si="42"/>
        <v/>
      </c>
      <c r="N252" s="3"/>
      <c r="P252" s="3" t="str">
        <f t="shared" si="43"/>
        <v/>
      </c>
      <c r="Q252" s="3"/>
      <c r="S252" s="3" t="str">
        <f t="shared" si="44"/>
        <v/>
      </c>
      <c r="T252" s="3"/>
      <c r="V252" s="3" t="str">
        <f t="shared" si="45"/>
        <v/>
      </c>
      <c r="W252" s="3"/>
      <c r="Y252" s="3" t="str">
        <f t="shared" si="46"/>
        <v/>
      </c>
      <c r="Z252" s="3"/>
      <c r="AB252" s="3" t="str">
        <f t="shared" si="47"/>
        <v/>
      </c>
      <c r="AC252" s="3"/>
      <c r="AE252" s="3">
        <f t="shared" si="48"/>
        <v>246</v>
      </c>
      <c r="AF252" s="3" t="str">
        <v>Staff:  Galneryus (Theme Song Performance (ED2))</v>
      </c>
      <c r="AH252" s="3">
        <f t="shared" si="39"/>
        <v>246</v>
      </c>
      <c r="AI252" s="3" t="str">
        <v>Staff Role: Storyboard  (ep 6)</v>
      </c>
    </row>
    <row r="253" spans="1:35" x14ac:dyDescent="0.3">
      <c r="A253" t="s">
        <v>23</v>
      </c>
      <c r="B253" s="5">
        <v>67.5</v>
      </c>
      <c r="C253" s="9">
        <v>4</v>
      </c>
      <c r="D253" s="6">
        <v>5.6219255094869995E-4</v>
      </c>
      <c r="E253" s="7">
        <v>3.79479971890372E-2</v>
      </c>
      <c r="G253" s="3" t="str">
        <f t="shared" si="40"/>
        <v/>
      </c>
      <c r="H253" s="3"/>
      <c r="J253" s="3" t="str">
        <f t="shared" si="41"/>
        <v/>
      </c>
      <c r="K253" s="3"/>
      <c r="M253" s="3" t="str">
        <f t="shared" si="42"/>
        <v/>
      </c>
      <c r="N253" s="3"/>
      <c r="P253" s="3" t="str">
        <f t="shared" si="43"/>
        <v/>
      </c>
      <c r="Q253" s="3"/>
      <c r="S253" s="3" t="str">
        <f t="shared" si="44"/>
        <v/>
      </c>
      <c r="T253" s="3"/>
      <c r="V253" s="3" t="str">
        <f t="shared" si="45"/>
        <v/>
      </c>
      <c r="W253" s="3"/>
      <c r="Y253" s="3" t="str">
        <f t="shared" si="46"/>
        <v/>
      </c>
      <c r="Z253" s="3"/>
      <c r="AB253" s="3" t="str">
        <f t="shared" si="47"/>
        <v/>
      </c>
      <c r="AC253" s="3"/>
      <c r="AE253" s="3">
        <f t="shared" si="48"/>
        <v>247</v>
      </c>
      <c r="AF253" s="3" t="str">
        <v>Staff: Tetsuya Takeuchi (Key Animation (ep 43))</v>
      </c>
      <c r="AH253" s="3">
        <f t="shared" si="39"/>
        <v>247</v>
      </c>
      <c r="AI253" s="3" t="str">
        <v>Staff Role: Episode Director  (ep 6)</v>
      </c>
    </row>
    <row r="254" spans="1:35" x14ac:dyDescent="0.3">
      <c r="A254" t="s">
        <v>536</v>
      </c>
      <c r="B254" s="5">
        <v>90</v>
      </c>
      <c r="C254" s="9">
        <v>3</v>
      </c>
      <c r="D254" s="6">
        <v>4.2164441321152499E-4</v>
      </c>
      <c r="E254" s="7">
        <v>3.79479971890372E-2</v>
      </c>
      <c r="G254" s="3" t="str">
        <f t="shared" si="40"/>
        <v/>
      </c>
      <c r="H254" s="3"/>
      <c r="J254" s="3" t="str">
        <f t="shared" si="41"/>
        <v/>
      </c>
      <c r="K254" s="3"/>
      <c r="M254" s="3" t="str">
        <f t="shared" si="42"/>
        <v/>
      </c>
      <c r="N254" s="3"/>
      <c r="P254" s="3" t="str">
        <f t="shared" si="43"/>
        <v/>
      </c>
      <c r="Q254" s="3"/>
      <c r="S254" s="3" t="str">
        <f t="shared" si="44"/>
        <v/>
      </c>
      <c r="T254" s="3"/>
      <c r="V254" s="3" t="str">
        <f t="shared" si="45"/>
        <v/>
      </c>
      <c r="W254" s="3"/>
      <c r="Y254" s="3" t="str">
        <f t="shared" si="46"/>
        <v/>
      </c>
      <c r="Z254" s="3"/>
      <c r="AB254" s="3" t="str">
        <f t="shared" si="47"/>
        <v/>
      </c>
      <c r="AC254" s="3"/>
      <c r="AE254" s="3">
        <f t="shared" si="48"/>
        <v>248</v>
      </c>
      <c r="AF254" s="3" t="str">
        <v>Staff: Yoshihisa Hirano (Music)</v>
      </c>
      <c r="AH254" s="3">
        <f t="shared" si="39"/>
        <v>248</v>
      </c>
      <c r="AI254" s="3" t="str">
        <v>Staff Role: Key Animation (ep 3)</v>
      </c>
    </row>
    <row r="255" spans="1:35" x14ac:dyDescent="0.3">
      <c r="A255" t="str">
        <f>HYPERLINK("https://anilist.co/staff/100152","Staff: Shinji Takamatsu (Director)")</f>
        <v>Staff: Shinji Takamatsu (Director)</v>
      </c>
      <c r="B255" s="5">
        <v>90</v>
      </c>
      <c r="C255" s="9">
        <v>3</v>
      </c>
      <c r="D255" s="6">
        <v>4.2164441321152499E-4</v>
      </c>
      <c r="E255" s="7">
        <v>3.79479971890372E-2</v>
      </c>
      <c r="G255" s="3" t="str">
        <f t="shared" si="40"/>
        <v/>
      </c>
      <c r="H255" s="3"/>
      <c r="J255" s="3" t="str">
        <f t="shared" si="41"/>
        <v/>
      </c>
      <c r="K255" s="3"/>
      <c r="M255" s="3" t="str">
        <f t="shared" si="42"/>
        <v/>
      </c>
      <c r="N255" s="3"/>
      <c r="P255" s="3" t="str">
        <f t="shared" si="43"/>
        <v/>
      </c>
      <c r="Q255" s="3"/>
      <c r="S255" s="3" t="str">
        <f t="shared" si="44"/>
        <v/>
      </c>
      <c r="T255" s="3"/>
      <c r="V255" s="3" t="str">
        <f t="shared" si="45"/>
        <v/>
      </c>
      <c r="W255" s="3"/>
      <c r="Y255" s="3" t="str">
        <f t="shared" si="46"/>
        <v/>
      </c>
      <c r="Z255" s="3"/>
      <c r="AB255" s="3" t="str">
        <f t="shared" si="47"/>
        <v/>
      </c>
      <c r="AC255" s="3"/>
      <c r="AE255" s="3">
        <f t="shared" si="48"/>
        <v>249</v>
      </c>
      <c r="AF255" s="3" t="str">
        <v>Staff: Atsuko Watanabe (Key Animation (OP1))</v>
      </c>
      <c r="AH255" s="3">
        <f t="shared" si="39"/>
        <v>249</v>
      </c>
      <c r="AI255" s="3" t="str">
        <v>Staff Role: Episode Director (eps 1, 12)</v>
      </c>
    </row>
    <row r="256" spans="1:35" x14ac:dyDescent="0.3">
      <c r="A256" t="s">
        <v>114</v>
      </c>
      <c r="B256" s="5">
        <v>86.6666666666666</v>
      </c>
      <c r="C256" s="9">
        <v>3</v>
      </c>
      <c r="D256" s="6">
        <v>4.2164441321152499E-4</v>
      </c>
      <c r="E256" s="7">
        <v>3.6542515811665399E-2</v>
      </c>
      <c r="G256" s="3" t="str">
        <f t="shared" si="40"/>
        <v/>
      </c>
      <c r="H256" s="3"/>
      <c r="J256" s="3" t="str">
        <f t="shared" si="41"/>
        <v/>
      </c>
      <c r="K256" s="3"/>
      <c r="M256" s="3" t="str">
        <f t="shared" si="42"/>
        <v/>
      </c>
      <c r="N256" s="3"/>
      <c r="P256" s="3" t="str">
        <f t="shared" si="43"/>
        <v/>
      </c>
      <c r="Q256" s="3"/>
      <c r="S256" s="3" t="str">
        <f t="shared" si="44"/>
        <v/>
      </c>
      <c r="T256" s="3"/>
      <c r="V256" s="3" t="str">
        <f t="shared" si="45"/>
        <v/>
      </c>
      <c r="W256" s="3"/>
      <c r="Y256" s="3" t="str">
        <f t="shared" si="46"/>
        <v/>
      </c>
      <c r="Z256" s="3"/>
      <c r="AB256" s="3" t="str">
        <f t="shared" si="47"/>
        <v/>
      </c>
      <c r="AC256" s="3"/>
      <c r="AE256" s="3">
        <f t="shared" si="48"/>
        <v>250</v>
      </c>
      <c r="AF256" s="3" t="str">
        <v>Staff: Hiroshi Koujina (Director)</v>
      </c>
      <c r="AH256" s="3">
        <f t="shared" si="39"/>
        <v>250</v>
      </c>
      <c r="AI256" s="3" t="str">
        <v>Staff Role: Chief Animation Director (1, 3, 5-6, 8, 10, 12)</v>
      </c>
    </row>
    <row r="257" spans="1:35" x14ac:dyDescent="0.3">
      <c r="A257" t="s">
        <v>142</v>
      </c>
      <c r="B257" s="5">
        <v>86.6666666666666</v>
      </c>
      <c r="C257" s="9">
        <v>3</v>
      </c>
      <c r="D257" s="6">
        <v>4.2164441321152499E-4</v>
      </c>
      <c r="E257" s="7">
        <v>3.6542515811665399E-2</v>
      </c>
      <c r="G257" s="3" t="str">
        <f t="shared" si="40"/>
        <v/>
      </c>
      <c r="H257" s="3"/>
      <c r="J257" s="3" t="str">
        <f t="shared" si="41"/>
        <v/>
      </c>
      <c r="K257" s="3"/>
      <c r="M257" s="3" t="str">
        <f t="shared" si="42"/>
        <v/>
      </c>
      <c r="N257" s="3"/>
      <c r="P257" s="3" t="str">
        <f t="shared" si="43"/>
        <v/>
      </c>
      <c r="Q257" s="3"/>
      <c r="S257" s="3" t="str">
        <f t="shared" si="44"/>
        <v/>
      </c>
      <c r="T257" s="3"/>
      <c r="V257" s="3" t="str">
        <f t="shared" si="45"/>
        <v/>
      </c>
      <c r="W257" s="3"/>
      <c r="Y257" s="3" t="str">
        <f t="shared" si="46"/>
        <v/>
      </c>
      <c r="Z257" s="3"/>
      <c r="AB257" s="3" t="str">
        <f t="shared" si="47"/>
        <v/>
      </c>
      <c r="AC257" s="3"/>
      <c r="AE257" s="3">
        <f t="shared" si="48"/>
        <v>251</v>
      </c>
      <c r="AF257" s="3" t="str">
        <v>Staff: Kenichi Maeyamada (Theme Song Arrangement (ED3))</v>
      </c>
      <c r="AH257" s="3">
        <f t="shared" si="39"/>
        <v>251</v>
      </c>
      <c r="AI257" s="3" t="str">
        <v>Staff Role: Chief Animation Director (2, 4, 7, 9, 11)</v>
      </c>
    </row>
    <row r="258" spans="1:35" x14ac:dyDescent="0.3">
      <c r="A258" t="s">
        <v>779</v>
      </c>
      <c r="B258" s="5">
        <v>65</v>
      </c>
      <c r="C258" s="9">
        <v>4</v>
      </c>
      <c r="D258" s="6">
        <v>5.6219255094869995E-4</v>
      </c>
      <c r="E258" s="7">
        <v>3.6542515811665399E-2</v>
      </c>
      <c r="G258" s="3" t="str">
        <f t="shared" si="40"/>
        <v/>
      </c>
      <c r="H258" s="3"/>
      <c r="J258" s="3" t="str">
        <f t="shared" si="41"/>
        <v/>
      </c>
      <c r="K258" s="3"/>
      <c r="M258" s="3" t="str">
        <f t="shared" si="42"/>
        <v/>
      </c>
      <c r="N258" s="3"/>
      <c r="P258" s="3" t="str">
        <f t="shared" si="43"/>
        <v/>
      </c>
      <c r="Q258" s="3"/>
      <c r="S258" s="3" t="str">
        <f t="shared" si="44"/>
        <v/>
      </c>
      <c r="T258" s="3"/>
      <c r="V258" s="3" t="str">
        <f t="shared" si="45"/>
        <v/>
      </c>
      <c r="W258" s="3"/>
      <c r="Y258" s="3" t="str">
        <f t="shared" si="46"/>
        <v/>
      </c>
      <c r="Z258" s="3"/>
      <c r="AB258" s="3" t="str">
        <f t="shared" si="47"/>
        <v/>
      </c>
      <c r="AC258" s="3"/>
      <c r="AE258" s="3">
        <f t="shared" si="48"/>
        <v>252</v>
      </c>
      <c r="AF258" s="3" t="str">
        <v>Staff: Kenichi Maeyamada (Theme Song Composition (ED3))</v>
      </c>
      <c r="AH258" s="3">
        <f t="shared" si="39"/>
        <v>252</v>
      </c>
      <c r="AI258" s="3" t="str">
        <v>Staff Role: Chief Animation Director (eps 2-11)</v>
      </c>
    </row>
    <row r="259" spans="1:35" x14ac:dyDescent="0.3">
      <c r="A259" t="s">
        <v>118</v>
      </c>
      <c r="B259" s="5">
        <v>83.3333333333333</v>
      </c>
      <c r="C259" s="9">
        <v>3</v>
      </c>
      <c r="D259" s="6">
        <v>4.2164441321152499E-4</v>
      </c>
      <c r="E259" s="7">
        <v>3.5137034434293703E-2</v>
      </c>
      <c r="G259" s="3" t="str">
        <f t="shared" si="40"/>
        <v/>
      </c>
      <c r="H259" s="3"/>
      <c r="J259" s="3" t="str">
        <f t="shared" si="41"/>
        <v/>
      </c>
      <c r="K259" s="3"/>
      <c r="M259" s="3" t="str">
        <f t="shared" si="42"/>
        <v/>
      </c>
      <c r="N259" s="3"/>
      <c r="P259" s="3" t="str">
        <f t="shared" si="43"/>
        <v/>
      </c>
      <c r="Q259" s="3"/>
      <c r="S259" s="3" t="str">
        <f t="shared" si="44"/>
        <v/>
      </c>
      <c r="T259" s="3"/>
      <c r="V259" s="3" t="str">
        <f t="shared" si="45"/>
        <v/>
      </c>
      <c r="W259" s="3"/>
      <c r="Y259" s="3" t="str">
        <f t="shared" si="46"/>
        <v/>
      </c>
      <c r="Z259" s="3"/>
      <c r="AB259" s="3" t="str">
        <f t="shared" si="47"/>
        <v/>
      </c>
      <c r="AC259" s="3"/>
      <c r="AE259" s="3">
        <f t="shared" si="48"/>
        <v>253</v>
      </c>
      <c r="AF259" s="3" t="str">
        <v>Staff: Kenichi Maeyamada (Theme Song Lyrics (ED3))</v>
      </c>
      <c r="AH259" s="3">
        <f t="shared" si="39"/>
        <v>253</v>
      </c>
      <c r="AI259" s="3" t="str">
        <v>Staff Role: Episode Director (OP, eps 1, 12)</v>
      </c>
    </row>
    <row r="260" spans="1:35" x14ac:dyDescent="0.3">
      <c r="A260" t="s">
        <v>300</v>
      </c>
      <c r="B260" s="5">
        <v>83.3333333333333</v>
      </c>
      <c r="C260" s="9">
        <v>3</v>
      </c>
      <c r="D260" s="6">
        <v>4.2164441321152499E-4</v>
      </c>
      <c r="E260" s="7">
        <v>3.5137034434293703E-2</v>
      </c>
      <c r="G260" s="3" t="str">
        <f t="shared" si="40"/>
        <v/>
      </c>
      <c r="H260" s="3"/>
      <c r="J260" s="3" t="str">
        <f t="shared" si="41"/>
        <v/>
      </c>
      <c r="K260" s="3"/>
      <c r="M260" s="3" t="str">
        <f t="shared" si="42"/>
        <v/>
      </c>
      <c r="N260" s="3"/>
      <c r="P260" s="3" t="str">
        <f t="shared" si="43"/>
        <v/>
      </c>
      <c r="Q260" s="3"/>
      <c r="S260" s="3" t="str">
        <f t="shared" si="44"/>
        <v/>
      </c>
      <c r="T260" s="3"/>
      <c r="V260" s="3" t="str">
        <f t="shared" si="45"/>
        <v/>
      </c>
      <c r="W260" s="3"/>
      <c r="Y260" s="3" t="str">
        <f t="shared" si="46"/>
        <v/>
      </c>
      <c r="Z260" s="3"/>
      <c r="AB260" s="3" t="str">
        <f t="shared" si="47"/>
        <v/>
      </c>
      <c r="AC260" s="3"/>
      <c r="AE260" s="3">
        <f t="shared" si="48"/>
        <v>254</v>
      </c>
      <c r="AF260" s="3" t="str">
        <v>Staff: Fear, and Loathing in Las Vegas  (Theme Song Performance (ED1))</v>
      </c>
      <c r="AH260" s="3">
        <f t="shared" si="39"/>
        <v>254</v>
      </c>
      <c r="AI260" s="3" t="str">
        <v>Staff Role: Episode Director (ED, eps 2, 6, 10)</v>
      </c>
    </row>
    <row r="261" spans="1:35" x14ac:dyDescent="0.3">
      <c r="A261" t="s">
        <v>304</v>
      </c>
      <c r="B261" s="5">
        <v>83.3333333333333</v>
      </c>
      <c r="C261" s="9">
        <v>3</v>
      </c>
      <c r="D261" s="6">
        <v>4.2164441321152499E-4</v>
      </c>
      <c r="E261" s="7">
        <v>3.5137034434293703E-2</v>
      </c>
      <c r="G261" s="3" t="str">
        <f t="shared" si="40"/>
        <v/>
      </c>
      <c r="H261" s="3"/>
      <c r="J261" s="3" t="str">
        <f t="shared" si="41"/>
        <v/>
      </c>
      <c r="K261" s="3"/>
      <c r="M261" s="3" t="str">
        <f t="shared" si="42"/>
        <v/>
      </c>
      <c r="N261" s="3"/>
      <c r="P261" s="3" t="str">
        <f t="shared" si="43"/>
        <v/>
      </c>
      <c r="Q261" s="3"/>
      <c r="S261" s="3" t="str">
        <f t="shared" si="44"/>
        <v/>
      </c>
      <c r="T261" s="3"/>
      <c r="V261" s="3" t="str">
        <f t="shared" si="45"/>
        <v/>
      </c>
      <c r="W261" s="3"/>
      <c r="Y261" s="3" t="str">
        <f t="shared" si="46"/>
        <v/>
      </c>
      <c r="Z261" s="3"/>
      <c r="AB261" s="3" t="str">
        <f t="shared" si="47"/>
        <v/>
      </c>
      <c r="AC261" s="3"/>
      <c r="AE261" s="3">
        <f t="shared" si="48"/>
        <v>255</v>
      </c>
      <c r="AF261" s="3" t="str">
        <v>Staff: Masatoshi Ono (Theme Song Performance (OP1-OP6))</v>
      </c>
      <c r="AH261" s="3">
        <f t="shared" si="39"/>
        <v>255</v>
      </c>
      <c r="AI261" s="3" t="str">
        <v>Staff Role: Storyboard (OP, eps 1-3, 12)</v>
      </c>
    </row>
    <row r="262" spans="1:35" x14ac:dyDescent="0.3">
      <c r="A262" t="s">
        <v>305</v>
      </c>
      <c r="B262" s="5">
        <v>83.3333333333333</v>
      </c>
      <c r="C262" s="9">
        <v>3</v>
      </c>
      <c r="D262" s="6">
        <v>4.2164441321152499E-4</v>
      </c>
      <c r="E262" s="7">
        <v>3.5137034434293703E-2</v>
      </c>
      <c r="G262" s="3" t="str">
        <f t="shared" si="40"/>
        <v/>
      </c>
      <c r="H262" s="3"/>
      <c r="J262" s="3" t="str">
        <f t="shared" si="41"/>
        <v/>
      </c>
      <c r="K262" s="3"/>
      <c r="M262" s="3" t="str">
        <f t="shared" si="42"/>
        <v/>
      </c>
      <c r="N262" s="3"/>
      <c r="P262" s="3" t="str">
        <f t="shared" si="43"/>
        <v/>
      </c>
      <c r="Q262" s="3"/>
      <c r="S262" s="3" t="str">
        <f t="shared" si="44"/>
        <v/>
      </c>
      <c r="T262" s="3"/>
      <c r="V262" s="3" t="str">
        <f t="shared" si="45"/>
        <v/>
      </c>
      <c r="W262" s="3"/>
      <c r="Y262" s="3" t="str">
        <f t="shared" si="46"/>
        <v/>
      </c>
      <c r="Z262" s="3"/>
      <c r="AB262" s="3" t="str">
        <f t="shared" si="47"/>
        <v/>
      </c>
      <c r="AC262" s="3"/>
      <c r="AE262" s="3">
        <f t="shared" si="48"/>
        <v>256</v>
      </c>
      <c r="AF262" s="3" t="str">
        <v>Staff:  Yuzu (Theme Song Performance (ED3-ED5))</v>
      </c>
      <c r="AH262" s="3">
        <f t="shared" si="39"/>
        <v>256</v>
      </c>
      <c r="AI262" s="3" t="str">
        <v xml:space="preserve">Staff Role: Storyboard (ED, eps 4, 6) </v>
      </c>
    </row>
    <row r="263" spans="1:35" x14ac:dyDescent="0.3">
      <c r="A263" t="s">
        <v>319</v>
      </c>
      <c r="B263" s="5">
        <v>83.3333333333333</v>
      </c>
      <c r="C263" s="9">
        <v>3</v>
      </c>
      <c r="D263" s="6">
        <v>4.2164441321152499E-4</v>
      </c>
      <c r="E263" s="7">
        <v>3.5137034434293703E-2</v>
      </c>
      <c r="G263" s="3" t="str">
        <f t="shared" si="40"/>
        <v/>
      </c>
      <c r="H263" s="3"/>
      <c r="J263" s="3" t="str">
        <f t="shared" si="41"/>
        <v/>
      </c>
      <c r="K263" s="3"/>
      <c r="M263" s="3" t="str">
        <f t="shared" si="42"/>
        <v/>
      </c>
      <c r="N263" s="3"/>
      <c r="P263" s="3" t="str">
        <f t="shared" si="43"/>
        <v/>
      </c>
      <c r="Q263" s="3"/>
      <c r="S263" s="3" t="str">
        <f t="shared" si="44"/>
        <v/>
      </c>
      <c r="T263" s="3"/>
      <c r="V263" s="3" t="str">
        <f t="shared" si="45"/>
        <v/>
      </c>
      <c r="W263" s="3"/>
      <c r="Y263" s="3" t="str">
        <f t="shared" si="46"/>
        <v/>
      </c>
      <c r="Z263" s="3"/>
      <c r="AB263" s="3" t="str">
        <f t="shared" si="47"/>
        <v/>
      </c>
      <c r="AC263" s="3"/>
      <c r="AE263" s="3">
        <f t="shared" si="48"/>
        <v>257</v>
      </c>
      <c r="AF263" s="3" t="str">
        <v>Staff: Michinori Chiba (Key Animation (OP4))</v>
      </c>
      <c r="AH263" s="3">
        <f t="shared" si="39"/>
        <v>257</v>
      </c>
      <c r="AI263" s="3" t="str">
        <v>Staff Role: Storyboard (ep 7)</v>
      </c>
    </row>
    <row r="264" spans="1:35" x14ac:dyDescent="0.3">
      <c r="A264" t="s">
        <v>335</v>
      </c>
      <c r="B264" s="5">
        <v>83.3333333333333</v>
      </c>
      <c r="C264" s="9">
        <v>3</v>
      </c>
      <c r="D264" s="6">
        <v>4.2164441321152499E-4</v>
      </c>
      <c r="E264" s="7">
        <v>3.5137034434293703E-2</v>
      </c>
      <c r="G264" s="3" t="str">
        <f t="shared" si="40"/>
        <v/>
      </c>
      <c r="H264" s="3"/>
      <c r="J264" s="3" t="str">
        <f t="shared" si="41"/>
        <v/>
      </c>
      <c r="K264" s="3"/>
      <c r="M264" s="3" t="str">
        <f t="shared" si="42"/>
        <v/>
      </c>
      <c r="N264" s="3"/>
      <c r="P264" s="3" t="str">
        <f t="shared" si="43"/>
        <v/>
      </c>
      <c r="Q264" s="3"/>
      <c r="S264" s="3" t="str">
        <f t="shared" si="44"/>
        <v/>
      </c>
      <c r="T264" s="3"/>
      <c r="V264" s="3" t="str">
        <f t="shared" si="45"/>
        <v/>
      </c>
      <c r="W264" s="3"/>
      <c r="Y264" s="3" t="str">
        <f t="shared" si="46"/>
        <v/>
      </c>
      <c r="Z264" s="3"/>
      <c r="AB264" s="3" t="str">
        <f t="shared" si="47"/>
        <v/>
      </c>
      <c r="AC264" s="3"/>
      <c r="AE264" s="3">
        <f t="shared" si="48"/>
        <v>258</v>
      </c>
      <c r="AF264" s="3" t="str">
        <v>Staff: Tetsuo Hirakawa (Key Animation (ep 29))</v>
      </c>
      <c r="AH264" s="3">
        <f t="shared" ref="AH264:AH327" si="49">IF(NOT(ISBLANK(AI264)),IF(NOT(ISNUMBER(AH263)),1,AH263+1),"")</f>
        <v>258</v>
      </c>
      <c r="AI264" s="3" t="str">
        <v>Staff Role: Episode Director (OP, eps 1, 5, 12)</v>
      </c>
    </row>
    <row r="265" spans="1:35" x14ac:dyDescent="0.3">
      <c r="A265" t="s">
        <v>400</v>
      </c>
      <c r="B265" s="5">
        <v>83.3333333333333</v>
      </c>
      <c r="C265" s="9">
        <v>3</v>
      </c>
      <c r="D265" s="6">
        <v>4.2164441321152499E-4</v>
      </c>
      <c r="E265" s="7">
        <v>3.5137034434293703E-2</v>
      </c>
      <c r="G265" s="3" t="str">
        <f t="shared" si="40"/>
        <v/>
      </c>
      <c r="H265" s="3"/>
      <c r="J265" s="3" t="str">
        <f t="shared" si="41"/>
        <v/>
      </c>
      <c r="K265" s="3"/>
      <c r="M265" s="3" t="str">
        <f t="shared" si="42"/>
        <v/>
      </c>
      <c r="N265" s="3"/>
      <c r="P265" s="3" t="str">
        <f t="shared" si="43"/>
        <v/>
      </c>
      <c r="Q265" s="3"/>
      <c r="S265" s="3" t="str">
        <f t="shared" si="44"/>
        <v/>
      </c>
      <c r="T265" s="3"/>
      <c r="V265" s="3" t="str">
        <f t="shared" si="45"/>
        <v/>
      </c>
      <c r="W265" s="3"/>
      <c r="Y265" s="3" t="str">
        <f t="shared" si="46"/>
        <v/>
      </c>
      <c r="Z265" s="3"/>
      <c r="AB265" s="3" t="str">
        <f t="shared" si="47"/>
        <v/>
      </c>
      <c r="AC265" s="3"/>
      <c r="AE265" s="3">
        <f t="shared" si="48"/>
        <v>259</v>
      </c>
      <c r="AF265" s="3" t="str">
        <v>Staff: Mika Takahashi (Key Animation (OP2-4, ED6, ep 148))</v>
      </c>
      <c r="AH265" s="3">
        <f t="shared" si="49"/>
        <v>259</v>
      </c>
      <c r="AI265" s="3" t="str">
        <v>Staff Role: Storyboard (OP, eps 1-3, 5, 9, 12)</v>
      </c>
    </row>
    <row r="266" spans="1:35" x14ac:dyDescent="0.3">
      <c r="A266" t="s">
        <v>551</v>
      </c>
      <c r="B266" s="5">
        <v>83.3333333333333</v>
      </c>
      <c r="C266" s="9">
        <v>3</v>
      </c>
      <c r="D266" s="6">
        <v>4.2164441321152499E-4</v>
      </c>
      <c r="E266" s="7">
        <v>3.5137034434293703E-2</v>
      </c>
      <c r="G266" s="3" t="str">
        <f t="shared" si="40"/>
        <v/>
      </c>
      <c r="H266" s="3"/>
      <c r="J266" s="3" t="str">
        <f t="shared" si="41"/>
        <v/>
      </c>
      <c r="K266" s="3"/>
      <c r="M266" s="3" t="str">
        <f t="shared" si="42"/>
        <v/>
      </c>
      <c r="N266" s="3"/>
      <c r="P266" s="3" t="str">
        <f t="shared" si="43"/>
        <v/>
      </c>
      <c r="Q266" s="3"/>
      <c r="S266" s="3" t="str">
        <f t="shared" si="44"/>
        <v/>
      </c>
      <c r="T266" s="3"/>
      <c r="V266" s="3" t="str">
        <f t="shared" si="45"/>
        <v/>
      </c>
      <c r="W266" s="3"/>
      <c r="Y266" s="3" t="str">
        <f t="shared" si="46"/>
        <v/>
      </c>
      <c r="Z266" s="3"/>
      <c r="AB266" s="3" t="str">
        <f t="shared" si="47"/>
        <v/>
      </c>
      <c r="AC266" s="3"/>
      <c r="AE266" s="3">
        <f t="shared" si="48"/>
        <v>260</v>
      </c>
      <c r="AF266" s="3" t="str">
        <v>Staff: Hirokazu Hanai (Key Animation (ep 36))</v>
      </c>
      <c r="AH266" s="3">
        <f t="shared" si="49"/>
        <v>260</v>
      </c>
      <c r="AI266" s="3" t="str">
        <v>Staff Role: Animation Director (eps 7, 12)</v>
      </c>
    </row>
    <row r="267" spans="1:35" x14ac:dyDescent="0.3">
      <c r="A267" t="str">
        <f>HYPERLINK("https://anilist.co/staff/102500","Staff: Toshio Nakatani (Producer)")</f>
        <v>Staff: Toshio Nakatani (Producer)</v>
      </c>
      <c r="B267" s="5">
        <v>83.3333333333333</v>
      </c>
      <c r="C267" s="9">
        <v>3</v>
      </c>
      <c r="D267" s="6">
        <v>4.2164441321152499E-4</v>
      </c>
      <c r="E267" s="7">
        <v>3.5137034434293703E-2</v>
      </c>
      <c r="G267" s="3" t="str">
        <f t="shared" si="40"/>
        <v/>
      </c>
      <c r="H267" s="3"/>
      <c r="J267" s="3" t="str">
        <f t="shared" si="41"/>
        <v/>
      </c>
      <c r="K267" s="3"/>
      <c r="M267" s="3" t="str">
        <f t="shared" si="42"/>
        <v/>
      </c>
      <c r="N267" s="3"/>
      <c r="P267" s="3" t="str">
        <f t="shared" si="43"/>
        <v/>
      </c>
      <c r="Q267" s="3"/>
      <c r="S267" s="3" t="str">
        <f t="shared" si="44"/>
        <v/>
      </c>
      <c r="T267" s="3"/>
      <c r="V267" s="3" t="str">
        <f t="shared" si="45"/>
        <v/>
      </c>
      <c r="W267" s="3"/>
      <c r="Y267" s="3" t="str">
        <f t="shared" si="46"/>
        <v/>
      </c>
      <c r="Z267" s="3"/>
      <c r="AB267" s="3" t="str">
        <f t="shared" si="47"/>
        <v/>
      </c>
      <c r="AC267" s="3"/>
      <c r="AE267" s="3">
        <f t="shared" si="48"/>
        <v>261</v>
      </c>
      <c r="AF267" s="3" t="str">
        <v>Staff: Takao Maki (Key Animation (ED3))</v>
      </c>
      <c r="AH267" s="3">
        <f t="shared" si="49"/>
        <v>261</v>
      </c>
      <c r="AI267" s="3" t="str">
        <v>Staff Role: Animation Director (eps 9, 11)</v>
      </c>
    </row>
    <row r="268" spans="1:35" x14ac:dyDescent="0.3">
      <c r="A268" t="s">
        <v>123</v>
      </c>
      <c r="B268" s="5">
        <v>80</v>
      </c>
      <c r="C268" s="9">
        <v>3</v>
      </c>
      <c r="D268" s="6">
        <v>4.2164441321152499E-4</v>
      </c>
      <c r="E268" s="7">
        <v>3.3731553056921999E-2</v>
      </c>
      <c r="G268" s="3" t="str">
        <f t="shared" si="40"/>
        <v/>
      </c>
      <c r="H268" s="3"/>
      <c r="J268" s="3" t="str">
        <f t="shared" si="41"/>
        <v/>
      </c>
      <c r="K268" s="3"/>
      <c r="M268" s="3" t="str">
        <f t="shared" si="42"/>
        <v/>
      </c>
      <c r="N268" s="3"/>
      <c r="P268" s="3" t="str">
        <f t="shared" si="43"/>
        <v/>
      </c>
      <c r="Q268" s="3"/>
      <c r="S268" s="3" t="str">
        <f t="shared" si="44"/>
        <v/>
      </c>
      <c r="T268" s="3"/>
      <c r="V268" s="3" t="str">
        <f t="shared" si="45"/>
        <v/>
      </c>
      <c r="W268" s="3"/>
      <c r="Y268" s="3" t="str">
        <f t="shared" si="46"/>
        <v/>
      </c>
      <c r="Z268" s="3"/>
      <c r="AB268" s="3" t="str">
        <f t="shared" si="47"/>
        <v/>
      </c>
      <c r="AC268" s="3"/>
      <c r="AE268" s="3">
        <f t="shared" si="48"/>
        <v>262</v>
      </c>
      <c r="AF268" s="3" t="str">
        <v>Staff: Boya Liang (Key Animation (OP5, ED5, eps 73, 75, 78, 81, 85, 94, 100, 107, 110, 116, 123, 127, 131, 138, 139, 142, 145, 146))</v>
      </c>
      <c r="AH268" s="3">
        <f t="shared" si="49"/>
        <v>262</v>
      </c>
      <c r="AI268" s="3" t="str">
        <v>Staff Role: Animation Director (OP, eps 8, 11)</v>
      </c>
    </row>
    <row r="269" spans="1:35" x14ac:dyDescent="0.3">
      <c r="A269" t="s">
        <v>171</v>
      </c>
      <c r="B269" s="5">
        <v>80</v>
      </c>
      <c r="C269" s="9">
        <v>3</v>
      </c>
      <c r="D269" s="6">
        <v>4.2164441321152499E-4</v>
      </c>
      <c r="E269" s="7">
        <v>3.3731553056921999E-2</v>
      </c>
      <c r="G269" s="3" t="str">
        <f t="shared" si="40"/>
        <v/>
      </c>
      <c r="H269" s="3"/>
      <c r="J269" s="3" t="str">
        <f t="shared" si="41"/>
        <v/>
      </c>
      <c r="K269" s="3"/>
      <c r="M269" s="3" t="str">
        <f t="shared" si="42"/>
        <v/>
      </c>
      <c r="N269" s="3"/>
      <c r="P269" s="3" t="str">
        <f t="shared" si="43"/>
        <v/>
      </c>
      <c r="Q269" s="3"/>
      <c r="S269" s="3" t="str">
        <f t="shared" si="44"/>
        <v/>
      </c>
      <c r="T269" s="3"/>
      <c r="V269" s="3" t="str">
        <f t="shared" si="45"/>
        <v/>
      </c>
      <c r="W269" s="3"/>
      <c r="Y269" s="3" t="str">
        <f t="shared" si="46"/>
        <v/>
      </c>
      <c r="Z269" s="3"/>
      <c r="AB269" s="3" t="str">
        <f t="shared" si="47"/>
        <v/>
      </c>
      <c r="AC269" s="3"/>
      <c r="AE269" s="3">
        <f t="shared" si="48"/>
        <v>263</v>
      </c>
      <c r="AF269" s="3" t="str">
        <v>Staff: Takahiko Abiru (Key Animation (OP1-5, eps 6, 14, 21, 29, 50, 57, 135, 142, 148))</v>
      </c>
      <c r="AH269" s="3">
        <f t="shared" si="49"/>
        <v>263</v>
      </c>
      <c r="AI269" s="3" t="str">
        <v>Staff Role: Animation Director (eps 6, 10)</v>
      </c>
    </row>
    <row r="270" spans="1:35" x14ac:dyDescent="0.3">
      <c r="A270" t="s">
        <v>212</v>
      </c>
      <c r="B270" s="5">
        <v>80</v>
      </c>
      <c r="C270" s="9">
        <v>3</v>
      </c>
      <c r="D270" s="6">
        <v>4.2164441321152499E-4</v>
      </c>
      <c r="E270" s="7">
        <v>3.3731553056921999E-2</v>
      </c>
      <c r="G270" s="3" t="str">
        <f t="shared" si="40"/>
        <v/>
      </c>
      <c r="H270" s="3"/>
      <c r="J270" s="3" t="str">
        <f t="shared" si="41"/>
        <v/>
      </c>
      <c r="K270" s="3"/>
      <c r="M270" s="3" t="str">
        <f t="shared" si="42"/>
        <v/>
      </c>
      <c r="N270" s="3"/>
      <c r="P270" s="3" t="str">
        <f t="shared" si="43"/>
        <v/>
      </c>
      <c r="Q270" s="3"/>
      <c r="S270" s="3" t="str">
        <f t="shared" si="44"/>
        <v/>
      </c>
      <c r="T270" s="3"/>
      <c r="V270" s="3" t="str">
        <f t="shared" si="45"/>
        <v/>
      </c>
      <c r="W270" s="3"/>
      <c r="Y270" s="3" t="str">
        <f t="shared" si="46"/>
        <v/>
      </c>
      <c r="Z270" s="3"/>
      <c r="AB270" s="3" t="str">
        <f t="shared" si="47"/>
        <v/>
      </c>
      <c r="AC270" s="3"/>
      <c r="AE270" s="3">
        <f t="shared" si="48"/>
        <v>264</v>
      </c>
      <c r="AF270" s="3" t="str">
        <v>Staff: Mio Ishiki  (Art Director)</v>
      </c>
      <c r="AH270" s="3">
        <f t="shared" si="49"/>
        <v>264</v>
      </c>
      <c r="AI270" s="3" t="str">
        <v>Staff Role: Chief Animation Director (OP, eps 1-12)</v>
      </c>
    </row>
    <row r="271" spans="1:35" x14ac:dyDescent="0.3">
      <c r="A271" t="s">
        <v>213</v>
      </c>
      <c r="B271" s="5">
        <v>80</v>
      </c>
      <c r="C271" s="9">
        <v>3</v>
      </c>
      <c r="D271" s="6">
        <v>4.2164441321152499E-4</v>
      </c>
      <c r="E271" s="7">
        <v>3.3731553056921999E-2</v>
      </c>
      <c r="G271" s="3" t="str">
        <f t="shared" si="40"/>
        <v/>
      </c>
      <c r="H271" s="3"/>
      <c r="J271" s="3" t="str">
        <f t="shared" si="41"/>
        <v/>
      </c>
      <c r="K271" s="3"/>
      <c r="M271" s="3" t="str">
        <f t="shared" si="42"/>
        <v/>
      </c>
      <c r="N271" s="3"/>
      <c r="P271" s="3" t="str">
        <f t="shared" si="43"/>
        <v/>
      </c>
      <c r="Q271" s="3"/>
      <c r="S271" s="3" t="str">
        <f t="shared" si="44"/>
        <v/>
      </c>
      <c r="T271" s="3"/>
      <c r="V271" s="3" t="str">
        <f t="shared" si="45"/>
        <v/>
      </c>
      <c r="W271" s="3"/>
      <c r="Y271" s="3" t="str">
        <f t="shared" si="46"/>
        <v/>
      </c>
      <c r="Z271" s="3"/>
      <c r="AB271" s="3" t="str">
        <f t="shared" si="47"/>
        <v/>
      </c>
      <c r="AC271" s="3"/>
      <c r="AE271" s="3">
        <f t="shared" si="48"/>
        <v>265</v>
      </c>
      <c r="AF271" s="3" t="str">
        <v>Staff: Dennis Saemann (Script (German))</v>
      </c>
      <c r="AH271" s="3">
        <f t="shared" si="49"/>
        <v>265</v>
      </c>
      <c r="AI271" s="3" t="str">
        <v>Staff Role: Animation Director (eps 4, 11)</v>
      </c>
    </row>
    <row r="272" spans="1:35" x14ac:dyDescent="0.3">
      <c r="A272" t="s">
        <v>550</v>
      </c>
      <c r="B272" s="5">
        <v>80</v>
      </c>
      <c r="C272" s="9">
        <v>3</v>
      </c>
      <c r="D272" s="6">
        <v>4.2164441321152499E-4</v>
      </c>
      <c r="E272" s="7">
        <v>3.3731553056921999E-2</v>
      </c>
      <c r="G272" s="3" t="str">
        <f t="shared" si="40"/>
        <v/>
      </c>
      <c r="H272" s="3"/>
      <c r="J272" s="3" t="str">
        <f t="shared" si="41"/>
        <v/>
      </c>
      <c r="K272" s="3"/>
      <c r="M272" s="3" t="str">
        <f t="shared" si="42"/>
        <v/>
      </c>
      <c r="N272" s="3"/>
      <c r="P272" s="3" t="str">
        <f t="shared" si="43"/>
        <v/>
      </c>
      <c r="Q272" s="3"/>
      <c r="S272" s="3" t="str">
        <f t="shared" si="44"/>
        <v/>
      </c>
      <c r="T272" s="3"/>
      <c r="V272" s="3" t="str">
        <f t="shared" si="45"/>
        <v/>
      </c>
      <c r="W272" s="3"/>
      <c r="Y272" s="3" t="str">
        <f t="shared" si="46"/>
        <v/>
      </c>
      <c r="Z272" s="3"/>
      <c r="AB272" s="3" t="str">
        <f t="shared" si="47"/>
        <v/>
      </c>
      <c r="AC272" s="3"/>
      <c r="AE272" s="3">
        <f t="shared" si="48"/>
        <v>266</v>
      </c>
      <c r="AF272" s="3" t="str">
        <v>Staff: Birte Baumgardt (ADR Director (German))</v>
      </c>
      <c r="AH272" s="3">
        <f t="shared" si="49"/>
        <v>266</v>
      </c>
      <c r="AI272" s="3" t="str">
        <v>Staff Role: Animation Director (eps 5, 12)</v>
      </c>
    </row>
    <row r="273" spans="1:35" x14ac:dyDescent="0.3">
      <c r="A273" t="s">
        <v>558</v>
      </c>
      <c r="B273" s="5">
        <v>80</v>
      </c>
      <c r="C273" s="9">
        <v>3</v>
      </c>
      <c r="D273" s="6">
        <v>4.2164441321152499E-4</v>
      </c>
      <c r="E273" s="7">
        <v>3.3731553056921999E-2</v>
      </c>
      <c r="G273" s="3" t="str">
        <f t="shared" si="40"/>
        <v/>
      </c>
      <c r="H273" s="3"/>
      <c r="J273" s="3" t="str">
        <f t="shared" si="41"/>
        <v/>
      </c>
      <c r="K273" s="3"/>
      <c r="M273" s="3" t="str">
        <f t="shared" si="42"/>
        <v/>
      </c>
      <c r="N273" s="3"/>
      <c r="P273" s="3" t="str">
        <f t="shared" si="43"/>
        <v/>
      </c>
      <c r="Q273" s="3"/>
      <c r="S273" s="3" t="str">
        <f t="shared" si="44"/>
        <v/>
      </c>
      <c r="T273" s="3"/>
      <c r="V273" s="3" t="str">
        <f t="shared" si="45"/>
        <v/>
      </c>
      <c r="W273" s="3"/>
      <c r="Y273" s="3" t="str">
        <f t="shared" si="46"/>
        <v/>
      </c>
      <c r="Z273" s="3"/>
      <c r="AB273" s="3" t="str">
        <f t="shared" si="47"/>
        <v/>
      </c>
      <c r="AC273" s="3"/>
      <c r="AE273" s="3">
        <f t="shared" si="48"/>
        <v>267</v>
      </c>
      <c r="AF273" s="3" t="str">
        <v>Staff: Yoshihiro Kanno (Key Animation (OP6, eps 5, 12, 20, 28, 34, 40, 82, 91, 96, 98, 105, 112, 118, 125, 126, 132, 146) )</v>
      </c>
      <c r="AH273" s="3">
        <f t="shared" si="49"/>
        <v>267</v>
      </c>
      <c r="AI273" s="3" t="str">
        <v>Staff Role: Animation Director (eps 3, 9)</v>
      </c>
    </row>
    <row r="274" spans="1:35" x14ac:dyDescent="0.3">
      <c r="A274" t="s">
        <v>629</v>
      </c>
      <c r="B274" s="5">
        <v>80</v>
      </c>
      <c r="C274" s="9">
        <v>3</v>
      </c>
      <c r="D274" s="6">
        <v>4.2164441321152499E-4</v>
      </c>
      <c r="E274" s="7">
        <v>3.3731553056921999E-2</v>
      </c>
      <c r="G274" s="3" t="str">
        <f t="shared" si="40"/>
        <v/>
      </c>
      <c r="H274" s="3"/>
      <c r="J274" s="3" t="str">
        <f t="shared" si="41"/>
        <v/>
      </c>
      <c r="K274" s="3"/>
      <c r="M274" s="3" t="str">
        <f t="shared" si="42"/>
        <v/>
      </c>
      <c r="N274" s="3"/>
      <c r="P274" s="3" t="str">
        <f t="shared" si="43"/>
        <v/>
      </c>
      <c r="Q274" s="3"/>
      <c r="S274" s="3" t="str">
        <f t="shared" si="44"/>
        <v/>
      </c>
      <c r="T274" s="3"/>
      <c r="V274" s="3" t="str">
        <f t="shared" si="45"/>
        <v/>
      </c>
      <c r="W274" s="3"/>
      <c r="Y274" s="3" t="str">
        <f t="shared" si="46"/>
        <v/>
      </c>
      <c r="Z274" s="3"/>
      <c r="AB274" s="3" t="str">
        <f t="shared" si="47"/>
        <v/>
      </c>
      <c r="AC274" s="3"/>
      <c r="AE274" s="3">
        <f t="shared" si="48"/>
        <v>268</v>
      </c>
      <c r="AF274" s="3" t="str">
        <v>Staff: Kurone Mishima (Original Character Design)</v>
      </c>
      <c r="AH274" s="3">
        <f t="shared" si="49"/>
        <v>268</v>
      </c>
      <c r="AI274" s="3" t="str">
        <v>Staff Role: Episode Director (eps 2, 6, 9)</v>
      </c>
    </row>
    <row r="275" spans="1:35" x14ac:dyDescent="0.3">
      <c r="A275" t="s">
        <v>690</v>
      </c>
      <c r="B275" s="5">
        <v>80</v>
      </c>
      <c r="C275" s="9">
        <v>3</v>
      </c>
      <c r="D275" s="6">
        <v>4.2164441321152499E-4</v>
      </c>
      <c r="E275" s="7">
        <v>3.3731553056921999E-2</v>
      </c>
      <c r="G275" s="3" t="str">
        <f t="shared" si="40"/>
        <v/>
      </c>
      <c r="H275" s="3"/>
      <c r="J275" s="3" t="str">
        <f t="shared" si="41"/>
        <v/>
      </c>
      <c r="K275" s="3"/>
      <c r="M275" s="3" t="str">
        <f t="shared" si="42"/>
        <v/>
      </c>
      <c r="N275" s="3"/>
      <c r="P275" s="3" t="str">
        <f t="shared" si="43"/>
        <v/>
      </c>
      <c r="Q275" s="3"/>
      <c r="S275" s="3" t="str">
        <f t="shared" si="44"/>
        <v/>
      </c>
      <c r="T275" s="3"/>
      <c r="V275" s="3" t="str">
        <f t="shared" si="45"/>
        <v/>
      </c>
      <c r="W275" s="3"/>
      <c r="Y275" s="3" t="str">
        <f t="shared" si="46"/>
        <v/>
      </c>
      <c r="Z275" s="3"/>
      <c r="AB275" s="3" t="str">
        <f t="shared" si="47"/>
        <v/>
      </c>
      <c r="AC275" s="3"/>
      <c r="AE275" s="3">
        <f t="shared" si="48"/>
        <v>269</v>
      </c>
      <c r="AF275" s="3" t="str">
        <v>Staff: Natsume Akatsuki (Original Story)</v>
      </c>
      <c r="AH275" s="3">
        <f t="shared" si="49"/>
        <v>269</v>
      </c>
      <c r="AI275" s="3" t="str">
        <v>Staff Role: Music Director</v>
      </c>
    </row>
    <row r="276" spans="1:35" x14ac:dyDescent="0.3">
      <c r="A276" t="s">
        <v>858</v>
      </c>
      <c r="B276" s="5">
        <v>80</v>
      </c>
      <c r="C276" s="9">
        <v>3</v>
      </c>
      <c r="D276" s="6">
        <v>4.2164441321152499E-4</v>
      </c>
      <c r="E276" s="7">
        <v>3.3731553056921999E-2</v>
      </c>
      <c r="G276" s="3" t="str">
        <f t="shared" si="40"/>
        <v/>
      </c>
      <c r="H276" s="3"/>
      <c r="J276" s="3" t="str">
        <f t="shared" si="41"/>
        <v/>
      </c>
      <c r="K276" s="3"/>
      <c r="M276" s="3" t="str">
        <f t="shared" si="42"/>
        <v/>
      </c>
      <c r="N276" s="3"/>
      <c r="P276" s="3" t="str">
        <f t="shared" si="43"/>
        <v/>
      </c>
      <c r="Q276" s="3"/>
      <c r="S276" s="3" t="str">
        <f t="shared" si="44"/>
        <v/>
      </c>
      <c r="T276" s="3"/>
      <c r="V276" s="3" t="str">
        <f t="shared" si="45"/>
        <v/>
      </c>
      <c r="W276" s="3"/>
      <c r="Y276" s="3" t="str">
        <f t="shared" si="46"/>
        <v/>
      </c>
      <c r="Z276" s="3"/>
      <c r="AB276" s="3" t="str">
        <f t="shared" si="47"/>
        <v/>
      </c>
      <c r="AC276" s="3"/>
      <c r="AE276" s="3">
        <f t="shared" si="48"/>
        <v>270</v>
      </c>
      <c r="AF276" s="3" t="str">
        <v>Staff: Takaomi Kanasaki (Director)</v>
      </c>
      <c r="AH276" s="3">
        <f t="shared" si="49"/>
        <v>270</v>
      </c>
      <c r="AI276" s="3" t="str">
        <v>Staff Role: Chief Animation Director (eps 7, 8)</v>
      </c>
    </row>
    <row r="277" spans="1:35" x14ac:dyDescent="0.3">
      <c r="A277" t="s">
        <v>12</v>
      </c>
      <c r="B277" s="5">
        <v>76.6666666666666</v>
      </c>
      <c r="C277" s="9">
        <v>3</v>
      </c>
      <c r="D277" s="6">
        <v>4.2164441321152499E-4</v>
      </c>
      <c r="E277" s="7">
        <v>3.2326071679550199E-2</v>
      </c>
      <c r="G277" s="3" t="str">
        <f t="shared" si="40"/>
        <v/>
      </c>
      <c r="H277" s="3"/>
      <c r="J277" s="3" t="str">
        <f t="shared" si="41"/>
        <v/>
      </c>
      <c r="K277" s="3"/>
      <c r="M277" s="3" t="str">
        <f t="shared" si="42"/>
        <v/>
      </c>
      <c r="N277" s="3"/>
      <c r="P277" s="3" t="str">
        <f t="shared" si="43"/>
        <v/>
      </c>
      <c r="Q277" s="3"/>
      <c r="S277" s="3" t="str">
        <f t="shared" si="44"/>
        <v/>
      </c>
      <c r="T277" s="3"/>
      <c r="V277" s="3" t="str">
        <f t="shared" si="45"/>
        <v/>
      </c>
      <c r="W277" s="3"/>
      <c r="Y277" s="3" t="str">
        <f t="shared" si="46"/>
        <v/>
      </c>
      <c r="Z277" s="3"/>
      <c r="AB277" s="3" t="str">
        <f t="shared" si="47"/>
        <v/>
      </c>
      <c r="AC277" s="3"/>
      <c r="AE277" s="3">
        <f t="shared" si="48"/>
        <v>271</v>
      </c>
      <c r="AF277" s="3" t="str">
        <v>Staff: Makoto Uezu (Series Composition)</v>
      </c>
      <c r="AH277" s="3">
        <f t="shared" si="49"/>
        <v>271</v>
      </c>
      <c r="AI277" s="3" t="str">
        <v>Staff Role: Key Animation (OPa, OPb; ep 12)</v>
      </c>
    </row>
    <row r="278" spans="1:35" x14ac:dyDescent="0.3">
      <c r="A278" t="s">
        <v>47</v>
      </c>
      <c r="B278" s="5">
        <v>76.6666666666666</v>
      </c>
      <c r="C278" s="9">
        <v>3</v>
      </c>
      <c r="D278" s="6">
        <v>4.2164441321152499E-4</v>
      </c>
      <c r="E278" s="7">
        <v>3.2326071679550199E-2</v>
      </c>
      <c r="G278" s="3" t="str">
        <f t="shared" si="40"/>
        <v/>
      </c>
      <c r="H278" s="3"/>
      <c r="J278" s="3" t="str">
        <f t="shared" si="41"/>
        <v/>
      </c>
      <c r="K278" s="3"/>
      <c r="M278" s="3" t="str">
        <f t="shared" si="42"/>
        <v/>
      </c>
      <c r="N278" s="3"/>
      <c r="P278" s="3" t="str">
        <f t="shared" si="43"/>
        <v/>
      </c>
      <c r="Q278" s="3"/>
      <c r="S278" s="3" t="str">
        <f t="shared" si="44"/>
        <v/>
      </c>
      <c r="T278" s="3"/>
      <c r="V278" s="3" t="str">
        <f t="shared" si="45"/>
        <v/>
      </c>
      <c r="W278" s="3"/>
      <c r="Y278" s="3" t="str">
        <f t="shared" si="46"/>
        <v/>
      </c>
      <c r="Z278" s="3"/>
      <c r="AB278" s="3" t="str">
        <f t="shared" si="47"/>
        <v/>
      </c>
      <c r="AC278" s="3"/>
      <c r="AE278" s="3">
        <f t="shared" si="48"/>
        <v>272</v>
      </c>
      <c r="AF278" s="3" t="str">
        <v>Staff: Kouichi Kikuta (Character Design)</v>
      </c>
      <c r="AH278" s="3">
        <f t="shared" si="49"/>
        <v>272</v>
      </c>
      <c r="AI278" s="3" t="str">
        <v>Staff Role: Music Production</v>
      </c>
    </row>
    <row r="279" spans="1:35" x14ac:dyDescent="0.3">
      <c r="A279" t="s">
        <v>87</v>
      </c>
      <c r="B279" s="5">
        <v>76.6666666666666</v>
      </c>
      <c r="C279" s="9">
        <v>3</v>
      </c>
      <c r="D279" s="6">
        <v>4.2164441321152499E-4</v>
      </c>
      <c r="E279" s="7">
        <v>3.2326071679550199E-2</v>
      </c>
      <c r="G279" s="3" t="str">
        <f t="shared" ref="G279:G342" si="50">IF(NOT(ISBLANK(H279)),IF(NOT(ISNUMBER(G278)),1,G278+1),"")</f>
        <v/>
      </c>
      <c r="H279" s="3"/>
      <c r="J279" s="3" t="str">
        <f t="shared" ref="J279:J342" si="51">IF(NOT(ISBLANK(K279)),IF(NOT(ISNUMBER(J278)),1,J278+1),"")</f>
        <v/>
      </c>
      <c r="K279" s="3"/>
      <c r="M279" s="3" t="str">
        <f t="shared" ref="M279:M342" si="52">IF(NOT(ISBLANK(N279)),IF(NOT(ISNUMBER(M278)),1,M278+1),"")</f>
        <v/>
      </c>
      <c r="N279" s="3"/>
      <c r="P279" s="3" t="str">
        <f t="shared" ref="P279:P342" si="53">IF(NOT(ISBLANK(Q279)),IF(NOT(ISNUMBER(P278)),1,P278+1),"")</f>
        <v/>
      </c>
      <c r="Q279" s="3"/>
      <c r="S279" s="3" t="str">
        <f t="shared" ref="S279:S342" si="54">IF(NOT(ISBLANK(T279)),IF(NOT(ISNUMBER(S278)),1,S278+1),"")</f>
        <v/>
      </c>
      <c r="T279" s="3"/>
      <c r="V279" s="3" t="str">
        <f t="shared" ref="V279:V342" si="55">IF(NOT(ISBLANK(W279)),IF(NOT(ISNUMBER(V278)),1,V278+1),"")</f>
        <v/>
      </c>
      <c r="W279" s="3"/>
      <c r="Y279" s="3" t="str">
        <f t="shared" ref="Y279:Y342" si="56">IF(NOT(ISBLANK(Z279)),IF(NOT(ISNUMBER(Y278)),1,Y278+1),"")</f>
        <v/>
      </c>
      <c r="Z279" s="3"/>
      <c r="AB279" s="3" t="str">
        <f t="shared" ref="AB279:AB342" si="57">IF(NOT(ISBLANK(AC279)),IF(NOT(ISNUMBER(AB278)),1,AB278+1),"")</f>
        <v/>
      </c>
      <c r="AC279" s="3"/>
      <c r="AE279" s="3">
        <f t="shared" ref="AE279:AE342" si="58">IF(NOT(ISBLANK(AF279)),IF(NOT(ISNUMBER(AE278)),1,AE278+1),"")</f>
        <v>273</v>
      </c>
      <c r="AF279" s="3" t="str">
        <v>Staff: Makoto Uezu (Script (eps 1, 4, 6, 10))</v>
      </c>
      <c r="AH279" s="3">
        <f t="shared" si="49"/>
        <v>273</v>
      </c>
      <c r="AI279" s="3" t="str">
        <v>Staff Role: Chief Animation Director (eps 3, 5, 7, 9, 10)</v>
      </c>
    </row>
    <row r="280" spans="1:35" x14ac:dyDescent="0.3">
      <c r="A280" t="s">
        <v>169</v>
      </c>
      <c r="B280" s="5">
        <v>76.6666666666666</v>
      </c>
      <c r="C280" s="9">
        <v>3</v>
      </c>
      <c r="D280" s="6">
        <v>4.2164441321152499E-4</v>
      </c>
      <c r="E280" s="7">
        <v>3.2326071679550199E-2</v>
      </c>
      <c r="G280" s="3" t="str">
        <f t="shared" si="50"/>
        <v/>
      </c>
      <c r="H280" s="3"/>
      <c r="J280" s="3" t="str">
        <f t="shared" si="51"/>
        <v/>
      </c>
      <c r="K280" s="3"/>
      <c r="M280" s="3" t="str">
        <f t="shared" si="52"/>
        <v/>
      </c>
      <c r="N280" s="3"/>
      <c r="P280" s="3" t="str">
        <f t="shared" si="53"/>
        <v/>
      </c>
      <c r="Q280" s="3"/>
      <c r="S280" s="3" t="str">
        <f t="shared" si="54"/>
        <v/>
      </c>
      <c r="T280" s="3"/>
      <c r="V280" s="3" t="str">
        <f t="shared" si="55"/>
        <v/>
      </c>
      <c r="W280" s="3"/>
      <c r="Y280" s="3" t="str">
        <f t="shared" si="56"/>
        <v/>
      </c>
      <c r="Z280" s="3"/>
      <c r="AB280" s="3" t="str">
        <f t="shared" si="57"/>
        <v/>
      </c>
      <c r="AC280" s="3"/>
      <c r="AE280" s="3">
        <f t="shared" si="58"/>
        <v>274</v>
      </c>
      <c r="AF280" s="3" t="str">
        <v>Staff: Kouhei Hashimoto (Key Animation (ep 8))</v>
      </c>
      <c r="AH280" s="3">
        <f t="shared" si="49"/>
        <v>274</v>
      </c>
      <c r="AI280" s="3" t="str">
        <v>Staff Role: Chief Animation Director (eps 1, 2, 4, 8, 12)</v>
      </c>
    </row>
    <row r="281" spans="1:35" x14ac:dyDescent="0.3">
      <c r="A281" t="s">
        <v>170</v>
      </c>
      <c r="B281" s="5">
        <v>76.6666666666666</v>
      </c>
      <c r="C281" s="9">
        <v>3</v>
      </c>
      <c r="D281" s="6">
        <v>4.2164441321152499E-4</v>
      </c>
      <c r="E281" s="7">
        <v>3.2326071679550199E-2</v>
      </c>
      <c r="G281" s="3" t="str">
        <f t="shared" si="50"/>
        <v/>
      </c>
      <c r="H281" s="3"/>
      <c r="J281" s="3" t="str">
        <f t="shared" si="51"/>
        <v/>
      </c>
      <c r="K281" s="3"/>
      <c r="M281" s="3" t="str">
        <f t="shared" si="52"/>
        <v/>
      </c>
      <c r="N281" s="3"/>
      <c r="P281" s="3" t="str">
        <f t="shared" si="53"/>
        <v/>
      </c>
      <c r="Q281" s="3"/>
      <c r="S281" s="3" t="str">
        <f t="shared" si="54"/>
        <v/>
      </c>
      <c r="T281" s="3"/>
      <c r="V281" s="3" t="str">
        <f t="shared" si="55"/>
        <v/>
      </c>
      <c r="W281" s="3"/>
      <c r="Y281" s="3" t="str">
        <f t="shared" si="56"/>
        <v/>
      </c>
      <c r="Z281" s="3"/>
      <c r="AB281" s="3" t="str">
        <f t="shared" si="57"/>
        <v/>
      </c>
      <c r="AC281" s="3"/>
      <c r="AE281" s="3">
        <f t="shared" si="58"/>
        <v>275</v>
      </c>
      <c r="AF281" s="3" t="str">
        <v>Staff: Machico  (Theme Song Performance (OP, ED: ep 10))</v>
      </c>
      <c r="AH281" s="3">
        <f t="shared" si="49"/>
        <v>275</v>
      </c>
      <c r="AI281" s="3" t="str">
        <v>Staff Role: Key Animation (PV, eps 8, 10, 13)</v>
      </c>
    </row>
    <row r="282" spans="1:35" x14ac:dyDescent="0.3">
      <c r="A282" t="s">
        <v>200</v>
      </c>
      <c r="B282" s="5">
        <v>76.6666666666666</v>
      </c>
      <c r="C282" s="9">
        <v>3</v>
      </c>
      <c r="D282" s="6">
        <v>4.2164441321152499E-4</v>
      </c>
      <c r="E282" s="7">
        <v>3.2326071679550199E-2</v>
      </c>
      <c r="G282" s="3" t="str">
        <f t="shared" si="50"/>
        <v/>
      </c>
      <c r="H282" s="3"/>
      <c r="J282" s="3" t="str">
        <f t="shared" si="51"/>
        <v/>
      </c>
      <c r="K282" s="3"/>
      <c r="M282" s="3" t="str">
        <f t="shared" si="52"/>
        <v/>
      </c>
      <c r="N282" s="3"/>
      <c r="P282" s="3" t="str">
        <f t="shared" si="53"/>
        <v/>
      </c>
      <c r="Q282" s="3"/>
      <c r="S282" s="3" t="str">
        <f t="shared" si="54"/>
        <v/>
      </c>
      <c r="T282" s="3"/>
      <c r="V282" s="3" t="str">
        <f t="shared" si="55"/>
        <v/>
      </c>
      <c r="W282" s="3"/>
      <c r="Y282" s="3" t="str">
        <f t="shared" si="56"/>
        <v/>
      </c>
      <c r="Z282" s="3"/>
      <c r="AB282" s="3" t="str">
        <f t="shared" si="57"/>
        <v/>
      </c>
      <c r="AC282" s="3"/>
      <c r="AE282" s="3">
        <f t="shared" si="58"/>
        <v>276</v>
      </c>
      <c r="AF282" s="3" t="str">
        <v>Staff: Momoka Komatsu (Chief Animation Director (eps 2, 4, 6, 8, 10))</v>
      </c>
      <c r="AH282" s="3">
        <f t="shared" si="49"/>
        <v>276</v>
      </c>
      <c r="AI282" s="3" t="str">
        <v>Staff Role: Background Art (PV, eps 1, 3, 7, 9, 10, 12, 13)</v>
      </c>
    </row>
    <row r="283" spans="1:35" x14ac:dyDescent="0.3">
      <c r="A283" t="s">
        <v>209</v>
      </c>
      <c r="B283" s="5">
        <v>76.6666666666666</v>
      </c>
      <c r="C283" s="9">
        <v>3</v>
      </c>
      <c r="D283" s="6">
        <v>4.2164441321152499E-4</v>
      </c>
      <c r="E283" s="7">
        <v>3.2326071679550199E-2</v>
      </c>
      <c r="G283" s="3" t="str">
        <f t="shared" si="50"/>
        <v/>
      </c>
      <c r="H283" s="3"/>
      <c r="J283" s="3" t="str">
        <f t="shared" si="51"/>
        <v/>
      </c>
      <c r="K283" s="3"/>
      <c r="M283" s="3" t="str">
        <f t="shared" si="52"/>
        <v/>
      </c>
      <c r="N283" s="3"/>
      <c r="P283" s="3" t="str">
        <f t="shared" si="53"/>
        <v/>
      </c>
      <c r="Q283" s="3"/>
      <c r="S283" s="3" t="str">
        <f t="shared" si="54"/>
        <v/>
      </c>
      <c r="T283" s="3"/>
      <c r="V283" s="3" t="str">
        <f t="shared" si="55"/>
        <v/>
      </c>
      <c r="W283" s="3"/>
      <c r="Y283" s="3" t="str">
        <f t="shared" si="56"/>
        <v/>
      </c>
      <c r="Z283" s="3"/>
      <c r="AB283" s="3" t="str">
        <f t="shared" si="57"/>
        <v/>
      </c>
      <c r="AC283" s="3"/>
      <c r="AE283" s="3">
        <f t="shared" si="58"/>
        <v>277</v>
      </c>
      <c r="AF283" s="3" t="str">
        <v>Staff: Alex Von David (ADR Director (English))</v>
      </c>
      <c r="AH283" s="3">
        <f t="shared" si="49"/>
        <v>277</v>
      </c>
      <c r="AI283" s="3" t="str">
        <v>Staff Role: Animation Director (eps 4, 6, 7, 13)</v>
      </c>
    </row>
    <row r="284" spans="1:35" x14ac:dyDescent="0.3">
      <c r="A284" t="s">
        <v>216</v>
      </c>
      <c r="B284" s="5">
        <v>76.6666666666666</v>
      </c>
      <c r="C284" s="9">
        <v>3</v>
      </c>
      <c r="D284" s="6">
        <v>4.2164441321152499E-4</v>
      </c>
      <c r="E284" s="7">
        <v>3.2326071679550199E-2</v>
      </c>
      <c r="G284" s="3" t="str">
        <f t="shared" si="50"/>
        <v/>
      </c>
      <c r="H284" s="3"/>
      <c r="J284" s="3" t="str">
        <f t="shared" si="51"/>
        <v/>
      </c>
      <c r="K284" s="3"/>
      <c r="M284" s="3" t="str">
        <f t="shared" si="52"/>
        <v/>
      </c>
      <c r="N284" s="3"/>
      <c r="P284" s="3" t="str">
        <f t="shared" si="53"/>
        <v/>
      </c>
      <c r="Q284" s="3"/>
      <c r="S284" s="3" t="str">
        <f t="shared" si="54"/>
        <v/>
      </c>
      <c r="T284" s="3"/>
      <c r="V284" s="3" t="str">
        <f t="shared" si="55"/>
        <v/>
      </c>
      <c r="W284" s="3"/>
      <c r="Y284" s="3" t="str">
        <f t="shared" si="56"/>
        <v/>
      </c>
      <c r="Z284" s="3"/>
      <c r="AB284" s="3" t="str">
        <f t="shared" si="57"/>
        <v/>
      </c>
      <c r="AC284" s="3"/>
      <c r="AE284" s="3">
        <f t="shared" si="58"/>
        <v>278</v>
      </c>
      <c r="AF284" s="3" t="str">
        <v>Staff: Alex Von David (ADR Script (English))</v>
      </c>
      <c r="AH284" s="3">
        <f t="shared" si="49"/>
        <v>278</v>
      </c>
      <c r="AI284" s="3" t="str">
        <v>Staff Role: Animation Director (eps 1, 3, 11)</v>
      </c>
    </row>
    <row r="285" spans="1:35" x14ac:dyDescent="0.3">
      <c r="A285" t="s">
        <v>233</v>
      </c>
      <c r="B285" s="5">
        <v>76.6666666666666</v>
      </c>
      <c r="C285" s="9">
        <v>3</v>
      </c>
      <c r="D285" s="6">
        <v>4.2164441321152499E-4</v>
      </c>
      <c r="E285" s="7">
        <v>3.2326071679550199E-2</v>
      </c>
      <c r="G285" s="3" t="str">
        <f t="shared" si="50"/>
        <v/>
      </c>
      <c r="H285" s="3"/>
      <c r="J285" s="3" t="str">
        <f t="shared" si="51"/>
        <v/>
      </c>
      <c r="K285" s="3"/>
      <c r="M285" s="3" t="str">
        <f t="shared" si="52"/>
        <v/>
      </c>
      <c r="N285" s="3"/>
      <c r="P285" s="3" t="str">
        <f t="shared" si="53"/>
        <v/>
      </c>
      <c r="Q285" s="3"/>
      <c r="S285" s="3" t="str">
        <f t="shared" si="54"/>
        <v/>
      </c>
      <c r="T285" s="3"/>
      <c r="V285" s="3" t="str">
        <f t="shared" si="55"/>
        <v/>
      </c>
      <c r="W285" s="3"/>
      <c r="Y285" s="3" t="str">
        <f t="shared" si="56"/>
        <v/>
      </c>
      <c r="Z285" s="3"/>
      <c r="AB285" s="3" t="str">
        <f t="shared" si="57"/>
        <v/>
      </c>
      <c r="AC285" s="3"/>
      <c r="AE285" s="3">
        <f t="shared" si="58"/>
        <v>279</v>
      </c>
      <c r="AF285" s="3" t="str">
        <v>Staff: Sora Amamiya (Theme Song Performance (ED))</v>
      </c>
      <c r="AH285" s="3">
        <f t="shared" si="49"/>
        <v>279</v>
      </c>
      <c r="AI285" s="3" t="str">
        <v>Staff Role: Insert Song Performance "Letter" (ep 14)</v>
      </c>
    </row>
    <row r="286" spans="1:35" x14ac:dyDescent="0.3">
      <c r="A286" t="s">
        <v>309</v>
      </c>
      <c r="B286" s="5">
        <v>76.6666666666666</v>
      </c>
      <c r="C286" s="9">
        <v>3</v>
      </c>
      <c r="D286" s="6">
        <v>4.2164441321152499E-4</v>
      </c>
      <c r="E286" s="7">
        <v>3.2326071679550199E-2</v>
      </c>
      <c r="G286" s="3" t="str">
        <f t="shared" si="50"/>
        <v/>
      </c>
      <c r="H286" s="3"/>
      <c r="J286" s="3" t="str">
        <f t="shared" si="51"/>
        <v/>
      </c>
      <c r="K286" s="3"/>
      <c r="M286" s="3" t="str">
        <f t="shared" si="52"/>
        <v/>
      </c>
      <c r="N286" s="3"/>
      <c r="P286" s="3" t="str">
        <f t="shared" si="53"/>
        <v/>
      </c>
      <c r="Q286" s="3"/>
      <c r="S286" s="3" t="str">
        <f t="shared" si="54"/>
        <v/>
      </c>
      <c r="T286" s="3"/>
      <c r="V286" s="3" t="str">
        <f t="shared" si="55"/>
        <v/>
      </c>
      <c r="W286" s="3"/>
      <c r="Y286" s="3" t="str">
        <f t="shared" si="56"/>
        <v/>
      </c>
      <c r="Z286" s="3"/>
      <c r="AB286" s="3" t="str">
        <f t="shared" si="57"/>
        <v/>
      </c>
      <c r="AC286" s="3"/>
      <c r="AE286" s="3">
        <f t="shared" si="58"/>
        <v>280</v>
      </c>
      <c r="AF286" s="3" t="str">
        <v>Staff: Ai Kayano (Theme Song Performance (ED))</v>
      </c>
      <c r="AH286" s="3">
        <f t="shared" si="49"/>
        <v>280</v>
      </c>
      <c r="AI286" s="3" t="str">
        <v>Staff Role: Insert Song Lyrics "Letter" (ep 14)</v>
      </c>
    </row>
    <row r="287" spans="1:35" x14ac:dyDescent="0.3">
      <c r="A287" t="s">
        <v>351</v>
      </c>
      <c r="B287" s="5">
        <v>76.6666666666666</v>
      </c>
      <c r="C287" s="9">
        <v>3</v>
      </c>
      <c r="D287" s="6">
        <v>4.2164441321152499E-4</v>
      </c>
      <c r="E287" s="7">
        <v>3.2326071679550199E-2</v>
      </c>
      <c r="G287" s="3" t="str">
        <f t="shared" si="50"/>
        <v/>
      </c>
      <c r="H287" s="3"/>
      <c r="J287" s="3" t="str">
        <f t="shared" si="51"/>
        <v/>
      </c>
      <c r="K287" s="3"/>
      <c r="M287" s="3" t="str">
        <f t="shared" si="52"/>
        <v/>
      </c>
      <c r="N287" s="3"/>
      <c r="P287" s="3" t="str">
        <f t="shared" si="53"/>
        <v/>
      </c>
      <c r="Q287" s="3"/>
      <c r="S287" s="3" t="str">
        <f t="shared" si="54"/>
        <v/>
      </c>
      <c r="T287" s="3"/>
      <c r="V287" s="3" t="str">
        <f t="shared" si="55"/>
        <v/>
      </c>
      <c r="W287" s="3"/>
      <c r="Y287" s="3" t="str">
        <f t="shared" si="56"/>
        <v/>
      </c>
      <c r="Z287" s="3"/>
      <c r="AB287" s="3" t="str">
        <f t="shared" si="57"/>
        <v/>
      </c>
      <c r="AC287" s="3"/>
      <c r="AE287" s="3">
        <f t="shared" si="58"/>
        <v>281</v>
      </c>
      <c r="AF287" s="3" t="str">
        <v>Staff: Rie Takahashi (Theme Song Performance (ED))</v>
      </c>
      <c r="AH287" s="3">
        <f t="shared" si="49"/>
        <v>281</v>
      </c>
      <c r="AI287" s="3" t="str">
        <v>Staff Role: World Design</v>
      </c>
    </row>
    <row r="288" spans="1:35" x14ac:dyDescent="0.3">
      <c r="A288" t="s">
        <v>359</v>
      </c>
      <c r="B288" s="5">
        <v>76.6666666666666</v>
      </c>
      <c r="C288" s="9">
        <v>3</v>
      </c>
      <c r="D288" s="6">
        <v>4.2164441321152499E-4</v>
      </c>
      <c r="E288" s="7">
        <v>3.2326071679550199E-2</v>
      </c>
      <c r="G288" s="3" t="str">
        <f t="shared" si="50"/>
        <v/>
      </c>
      <c r="H288" s="3"/>
      <c r="J288" s="3" t="str">
        <f t="shared" si="51"/>
        <v/>
      </c>
      <c r="K288" s="3"/>
      <c r="M288" s="3" t="str">
        <f t="shared" si="52"/>
        <v/>
      </c>
      <c r="N288" s="3"/>
      <c r="P288" s="3" t="str">
        <f t="shared" si="53"/>
        <v/>
      </c>
      <c r="Q288" s="3"/>
      <c r="S288" s="3" t="str">
        <f t="shared" si="54"/>
        <v/>
      </c>
      <c r="T288" s="3"/>
      <c r="V288" s="3" t="str">
        <f t="shared" si="55"/>
        <v/>
      </c>
      <c r="W288" s="3"/>
      <c r="Y288" s="3" t="str">
        <f t="shared" si="56"/>
        <v/>
      </c>
      <c r="Z288" s="3"/>
      <c r="AB288" s="3" t="str">
        <f t="shared" si="57"/>
        <v/>
      </c>
      <c r="AC288" s="3"/>
      <c r="AE288" s="3">
        <f t="shared" si="58"/>
        <v>282</v>
      </c>
      <c r="AF288" s="3" t="str">
        <v>Staff: Ryousei Satou (Theme Song Lyrics (ED))</v>
      </c>
      <c r="AH288" s="3">
        <f t="shared" si="49"/>
        <v>282</v>
      </c>
      <c r="AI288" s="3" t="str">
        <v>Staff Role: Theme Song Performance (ED1, ED2)</v>
      </c>
    </row>
    <row r="289" spans="1:35" x14ac:dyDescent="0.3">
      <c r="A289" t="s">
        <v>544</v>
      </c>
      <c r="B289" s="5">
        <v>76.6666666666666</v>
      </c>
      <c r="C289" s="9">
        <v>3</v>
      </c>
      <c r="D289" s="6">
        <v>4.2164441321152499E-4</v>
      </c>
      <c r="E289" s="7">
        <v>3.2326071679550199E-2</v>
      </c>
      <c r="G289" s="3" t="str">
        <f t="shared" si="50"/>
        <v/>
      </c>
      <c r="H289" s="3"/>
      <c r="J289" s="3" t="str">
        <f t="shared" si="51"/>
        <v/>
      </c>
      <c r="K289" s="3"/>
      <c r="M289" s="3" t="str">
        <f t="shared" si="52"/>
        <v/>
      </c>
      <c r="N289" s="3"/>
      <c r="P289" s="3" t="str">
        <f t="shared" si="53"/>
        <v/>
      </c>
      <c r="Q289" s="3"/>
      <c r="S289" s="3" t="str">
        <f t="shared" si="54"/>
        <v/>
      </c>
      <c r="T289" s="3"/>
      <c r="V289" s="3" t="str">
        <f t="shared" si="55"/>
        <v/>
      </c>
      <c r="W289" s="3"/>
      <c r="Y289" s="3" t="str">
        <f t="shared" si="56"/>
        <v/>
      </c>
      <c r="Z289" s="3"/>
      <c r="AB289" s="3" t="str">
        <f t="shared" si="57"/>
        <v/>
      </c>
      <c r="AC289" s="3"/>
      <c r="AE289" s="3">
        <f t="shared" si="58"/>
        <v>283</v>
      </c>
      <c r="AF289" s="3" t="str">
        <v>Staff: Ryousei Satou (Theme Song Composition (ED))</v>
      </c>
      <c r="AH289" s="3">
        <f t="shared" si="49"/>
        <v>283</v>
      </c>
      <c r="AI289" s="3" t="str">
        <v>Staff Role: Theme Song Lyrics (ED1, ED2)</v>
      </c>
    </row>
    <row r="290" spans="1:35" x14ac:dyDescent="0.3">
      <c r="A290" t="s">
        <v>590</v>
      </c>
      <c r="B290" s="5">
        <v>76.6666666666666</v>
      </c>
      <c r="C290" s="9">
        <v>3</v>
      </c>
      <c r="D290" s="6">
        <v>4.2164441321152499E-4</v>
      </c>
      <c r="E290" s="7">
        <v>3.2326071679550199E-2</v>
      </c>
      <c r="G290" s="3" t="str">
        <f t="shared" si="50"/>
        <v/>
      </c>
      <c r="H290" s="3"/>
      <c r="J290" s="3" t="str">
        <f t="shared" si="51"/>
        <v/>
      </c>
      <c r="K290" s="3"/>
      <c r="M290" s="3" t="str">
        <f t="shared" si="52"/>
        <v/>
      </c>
      <c r="N290" s="3"/>
      <c r="P290" s="3" t="str">
        <f t="shared" si="53"/>
        <v/>
      </c>
      <c r="Q290" s="3"/>
      <c r="S290" s="3" t="str">
        <f t="shared" si="54"/>
        <v/>
      </c>
      <c r="T290" s="3"/>
      <c r="V290" s="3" t="str">
        <f t="shared" si="55"/>
        <v/>
      </c>
      <c r="W290" s="3"/>
      <c r="Y290" s="3" t="str">
        <f t="shared" si="56"/>
        <v/>
      </c>
      <c r="Z290" s="3"/>
      <c r="AB290" s="3" t="str">
        <f t="shared" si="57"/>
        <v/>
      </c>
      <c r="AC290" s="3"/>
      <c r="AE290" s="3">
        <f t="shared" si="58"/>
        <v>284</v>
      </c>
      <c r="AF290" s="3" t="str">
        <v>Staff: Ryousei Satou (Theme Song Arrangement (ED))</v>
      </c>
      <c r="AH290" s="3">
        <f t="shared" si="49"/>
        <v>284</v>
      </c>
      <c r="AI290" s="3" t="str">
        <v>Staff Role: Script (eps 2, 5, 8)</v>
      </c>
    </row>
    <row r="291" spans="1:35" x14ac:dyDescent="0.3">
      <c r="A291" t="str">
        <f>HYPERLINK("https://anilist.co/staff/101016","Staff: Yoshikazu Iwanami (Sound Director)")</f>
        <v>Staff: Yoshikazu Iwanami (Sound Director)</v>
      </c>
      <c r="B291" s="5">
        <v>76.6666666666666</v>
      </c>
      <c r="C291" s="9">
        <v>3</v>
      </c>
      <c r="D291" s="6">
        <v>4.2164441321152499E-4</v>
      </c>
      <c r="E291" s="7">
        <v>3.2326071679550199E-2</v>
      </c>
      <c r="G291" s="3" t="str">
        <f t="shared" si="50"/>
        <v/>
      </c>
      <c r="H291" s="3"/>
      <c r="J291" s="3" t="str">
        <f t="shared" si="51"/>
        <v/>
      </c>
      <c r="K291" s="3"/>
      <c r="M291" s="3" t="str">
        <f t="shared" si="52"/>
        <v/>
      </c>
      <c r="N291" s="3"/>
      <c r="P291" s="3" t="str">
        <f t="shared" si="53"/>
        <v/>
      </c>
      <c r="Q291" s="3"/>
      <c r="S291" s="3" t="str">
        <f t="shared" si="54"/>
        <v/>
      </c>
      <c r="T291" s="3"/>
      <c r="V291" s="3" t="str">
        <f t="shared" si="55"/>
        <v/>
      </c>
      <c r="W291" s="3"/>
      <c r="Y291" s="3" t="str">
        <f t="shared" si="56"/>
        <v/>
      </c>
      <c r="Z291" s="3"/>
      <c r="AB291" s="3" t="str">
        <f t="shared" si="57"/>
        <v/>
      </c>
      <c r="AC291" s="3"/>
      <c r="AE291" s="3">
        <f t="shared" si="58"/>
        <v>285</v>
      </c>
      <c r="AF291" s="3" t="str">
        <v>Staff: Kentarou Sonoda (Theme Song Composition (OP, ED: ep 10))</v>
      </c>
      <c r="AH291" s="3">
        <f t="shared" si="49"/>
        <v>285</v>
      </c>
      <c r="AI291" s="3" t="str">
        <v>Staff Role: Script (eps 1, 4, 7)</v>
      </c>
    </row>
    <row r="292" spans="1:35" x14ac:dyDescent="0.3">
      <c r="A292" t="str">
        <f>HYPERLINK("https://anilist.co/staff/103067","Staff: Fumihiko Shimo (Series Composition)")</f>
        <v>Staff: Fumihiko Shimo (Series Composition)</v>
      </c>
      <c r="B292" s="5">
        <v>76.6666666666666</v>
      </c>
      <c r="C292" s="9">
        <v>3</v>
      </c>
      <c r="D292" s="6">
        <v>4.2164441321152499E-4</v>
      </c>
      <c r="E292" s="7">
        <v>3.2326071679550199E-2</v>
      </c>
      <c r="G292" s="3" t="str">
        <f t="shared" si="50"/>
        <v/>
      </c>
      <c r="H292" s="3"/>
      <c r="J292" s="3" t="str">
        <f t="shared" si="51"/>
        <v/>
      </c>
      <c r="K292" s="3"/>
      <c r="M292" s="3" t="str">
        <f t="shared" si="52"/>
        <v/>
      </c>
      <c r="N292" s="3"/>
      <c r="P292" s="3" t="str">
        <f t="shared" si="53"/>
        <v/>
      </c>
      <c r="Q292" s="3"/>
      <c r="S292" s="3" t="str">
        <f t="shared" si="54"/>
        <v/>
      </c>
      <c r="T292" s="3"/>
      <c r="V292" s="3" t="str">
        <f t="shared" si="55"/>
        <v/>
      </c>
      <c r="W292" s="3"/>
      <c r="Y292" s="3" t="str">
        <f t="shared" si="56"/>
        <v/>
      </c>
      <c r="Z292" s="3"/>
      <c r="AB292" s="3" t="str">
        <f t="shared" si="57"/>
        <v/>
      </c>
      <c r="AC292" s="3"/>
      <c r="AE292" s="3">
        <f t="shared" si="58"/>
        <v>286</v>
      </c>
      <c r="AF292" s="3" t="str">
        <v>Staff: Kentarou Sonoda (Theme Song Lyrics (OP, ED: ep 10))</v>
      </c>
      <c r="AH292" s="3">
        <f t="shared" si="49"/>
        <v>286</v>
      </c>
      <c r="AI292" s="3" t="str">
        <v>Staff Role: Chief Animation Director (eps 3, 6)</v>
      </c>
    </row>
    <row r="293" spans="1:35" x14ac:dyDescent="0.3">
      <c r="A293" t="s">
        <v>86</v>
      </c>
      <c r="B293" s="5">
        <v>73.3333333333333</v>
      </c>
      <c r="C293" s="9">
        <v>3</v>
      </c>
      <c r="D293" s="6">
        <v>4.2164441321152499E-4</v>
      </c>
      <c r="E293" s="7">
        <v>3.0920590302178499E-2</v>
      </c>
      <c r="G293" s="3" t="str">
        <f t="shared" si="50"/>
        <v/>
      </c>
      <c r="H293" s="3"/>
      <c r="J293" s="3" t="str">
        <f t="shared" si="51"/>
        <v/>
      </c>
      <c r="K293" s="3"/>
      <c r="M293" s="3" t="str">
        <f t="shared" si="52"/>
        <v/>
      </c>
      <c r="N293" s="3"/>
      <c r="P293" s="3" t="str">
        <f t="shared" si="53"/>
        <v/>
      </c>
      <c r="Q293" s="3"/>
      <c r="S293" s="3" t="str">
        <f t="shared" si="54"/>
        <v/>
      </c>
      <c r="T293" s="3"/>
      <c r="V293" s="3" t="str">
        <f t="shared" si="55"/>
        <v/>
      </c>
      <c r="W293" s="3"/>
      <c r="Y293" s="3" t="str">
        <f t="shared" si="56"/>
        <v/>
      </c>
      <c r="Z293" s="3"/>
      <c r="AB293" s="3" t="str">
        <f t="shared" si="57"/>
        <v/>
      </c>
      <c r="AC293" s="3"/>
      <c r="AE293" s="3">
        <f t="shared" si="58"/>
        <v>287</v>
      </c>
      <c r="AF293" s="3" t="str">
        <v>Staff: Kentarou Sonoda (Theme Song Arrangement (OP, ED: ep 10))</v>
      </c>
      <c r="AH293" s="3">
        <f t="shared" si="49"/>
        <v>287</v>
      </c>
      <c r="AI293" s="3" t="str">
        <v>Staff Role: Chief Animation Director (OP, ED, ep 1)</v>
      </c>
    </row>
    <row r="294" spans="1:35" x14ac:dyDescent="0.3">
      <c r="A294" t="s">
        <v>126</v>
      </c>
      <c r="B294" s="5">
        <v>73.3333333333333</v>
      </c>
      <c r="C294" s="9">
        <v>3</v>
      </c>
      <c r="D294" s="6">
        <v>4.2164441321152499E-4</v>
      </c>
      <c r="E294" s="7">
        <v>3.0920590302178499E-2</v>
      </c>
      <c r="G294" s="3" t="str">
        <f t="shared" si="50"/>
        <v/>
      </c>
      <c r="H294" s="3"/>
      <c r="J294" s="3" t="str">
        <f t="shared" si="51"/>
        <v/>
      </c>
      <c r="K294" s="3"/>
      <c r="M294" s="3" t="str">
        <f t="shared" si="52"/>
        <v/>
      </c>
      <c r="N294" s="3"/>
      <c r="P294" s="3" t="str">
        <f t="shared" si="53"/>
        <v/>
      </c>
      <c r="Q294" s="3"/>
      <c r="S294" s="3" t="str">
        <f t="shared" si="54"/>
        <v/>
      </c>
      <c r="T294" s="3"/>
      <c r="V294" s="3" t="str">
        <f t="shared" si="55"/>
        <v/>
      </c>
      <c r="W294" s="3"/>
      <c r="Y294" s="3" t="str">
        <f t="shared" si="56"/>
        <v/>
      </c>
      <c r="Z294" s="3"/>
      <c r="AB294" s="3" t="str">
        <f t="shared" si="57"/>
        <v/>
      </c>
      <c r="AC294" s="3"/>
      <c r="AE294" s="3">
        <f t="shared" si="58"/>
        <v>288</v>
      </c>
      <c r="AF294" s="3" t="str">
        <v>Staff: Hisashi Yonezawa (Assistant Director of Photography)</v>
      </c>
      <c r="AH294" s="3">
        <f t="shared" si="49"/>
        <v>288</v>
      </c>
      <c r="AI294" s="3" t="str">
        <v>Staff Role: Chief Animation Director (eps 2, 5, 8)</v>
      </c>
    </row>
    <row r="295" spans="1:35" x14ac:dyDescent="0.3">
      <c r="A295" t="s">
        <v>153</v>
      </c>
      <c r="B295" s="5">
        <v>73.3333333333333</v>
      </c>
      <c r="C295" s="9">
        <v>3</v>
      </c>
      <c r="D295" s="6">
        <v>4.2164441321152499E-4</v>
      </c>
      <c r="E295" s="7">
        <v>3.0920590302178499E-2</v>
      </c>
      <c r="G295" s="3" t="str">
        <f t="shared" si="50"/>
        <v/>
      </c>
      <c r="H295" s="3"/>
      <c r="J295" s="3" t="str">
        <f t="shared" si="51"/>
        <v/>
      </c>
      <c r="K295" s="3"/>
      <c r="M295" s="3" t="str">
        <f t="shared" si="52"/>
        <v/>
      </c>
      <c r="N295" s="3"/>
      <c r="P295" s="3" t="str">
        <f t="shared" si="53"/>
        <v/>
      </c>
      <c r="Q295" s="3"/>
      <c r="S295" s="3" t="str">
        <f t="shared" si="54"/>
        <v/>
      </c>
      <c r="T295" s="3"/>
      <c r="V295" s="3" t="str">
        <f t="shared" si="55"/>
        <v/>
      </c>
      <c r="W295" s="3"/>
      <c r="Y295" s="3" t="str">
        <f t="shared" si="56"/>
        <v/>
      </c>
      <c r="Z295" s="3"/>
      <c r="AB295" s="3" t="str">
        <f t="shared" si="57"/>
        <v/>
      </c>
      <c r="AC295" s="3"/>
      <c r="AE295" s="3">
        <f t="shared" si="58"/>
        <v>289</v>
      </c>
      <c r="AF295" s="3" t="str">
        <v>Staff: Shigemitsu Hamao (Director of Photography)</v>
      </c>
      <c r="AH295" s="3">
        <f t="shared" si="49"/>
        <v>289</v>
      </c>
      <c r="AI295" s="3" t="str">
        <v>Staff Role: Chief Animation Director (eps 1, 4)</v>
      </c>
    </row>
    <row r="296" spans="1:35" x14ac:dyDescent="0.3">
      <c r="A296" t="s">
        <v>184</v>
      </c>
      <c r="B296" s="5">
        <v>73.3333333333333</v>
      </c>
      <c r="C296" s="9">
        <v>3</v>
      </c>
      <c r="D296" s="6">
        <v>4.2164441321152499E-4</v>
      </c>
      <c r="E296" s="7">
        <v>3.0920590302178499E-2</v>
      </c>
      <c r="G296" s="3" t="str">
        <f t="shared" si="50"/>
        <v/>
      </c>
      <c r="H296" s="3"/>
      <c r="J296" s="3" t="str">
        <f t="shared" si="51"/>
        <v/>
      </c>
      <c r="K296" s="3"/>
      <c r="M296" s="3" t="str">
        <f t="shared" si="52"/>
        <v/>
      </c>
      <c r="N296" s="3"/>
      <c r="P296" s="3" t="str">
        <f t="shared" si="53"/>
        <v/>
      </c>
      <c r="Q296" s="3"/>
      <c r="S296" s="3" t="str">
        <f t="shared" si="54"/>
        <v/>
      </c>
      <c r="T296" s="3"/>
      <c r="V296" s="3" t="str">
        <f t="shared" si="55"/>
        <v/>
      </c>
      <c r="W296" s="3"/>
      <c r="Y296" s="3" t="str">
        <f t="shared" si="56"/>
        <v/>
      </c>
      <c r="Z296" s="3"/>
      <c r="AB296" s="3" t="str">
        <f t="shared" si="57"/>
        <v/>
      </c>
      <c r="AC296" s="3"/>
      <c r="AE296" s="3">
        <f t="shared" si="58"/>
        <v>290</v>
      </c>
      <c r="AF296" s="3" t="str">
        <v>Staff: Shunji Yoshida (Assistant Director)</v>
      </c>
      <c r="AH296" s="3">
        <f t="shared" si="49"/>
        <v>290</v>
      </c>
      <c r="AI296" s="3" t="str">
        <v>Staff Role: Special Effects</v>
      </c>
    </row>
    <row r="297" spans="1:35" x14ac:dyDescent="0.3">
      <c r="A297" t="s">
        <v>249</v>
      </c>
      <c r="B297" s="5">
        <v>73.3333333333333</v>
      </c>
      <c r="C297" s="9">
        <v>3</v>
      </c>
      <c r="D297" s="6">
        <v>4.2164441321152499E-4</v>
      </c>
      <c r="E297" s="7">
        <v>3.0920590302178499E-2</v>
      </c>
      <c r="G297" s="3" t="str">
        <f t="shared" si="50"/>
        <v/>
      </c>
      <c r="H297" s="3"/>
      <c r="J297" s="3" t="str">
        <f t="shared" si="51"/>
        <v/>
      </c>
      <c r="K297" s="3"/>
      <c r="M297" s="3" t="str">
        <f t="shared" si="52"/>
        <v/>
      </c>
      <c r="N297" s="3"/>
      <c r="P297" s="3" t="str">
        <f t="shared" si="53"/>
        <v/>
      </c>
      <c r="Q297" s="3"/>
      <c r="S297" s="3" t="str">
        <f t="shared" si="54"/>
        <v/>
      </c>
      <c r="T297" s="3"/>
      <c r="V297" s="3" t="str">
        <f t="shared" si="55"/>
        <v/>
      </c>
      <c r="W297" s="3"/>
      <c r="Y297" s="3" t="str">
        <f t="shared" si="56"/>
        <v/>
      </c>
      <c r="Z297" s="3"/>
      <c r="AB297" s="3" t="str">
        <f t="shared" si="57"/>
        <v/>
      </c>
      <c r="AC297" s="3"/>
      <c r="AE297" s="3">
        <f t="shared" si="58"/>
        <v>291</v>
      </c>
      <c r="AF297" s="3" t="str">
        <v>Staff: Mizuo Furuya (Key Animation (OP, ep 1))</v>
      </c>
      <c r="AH297" s="3">
        <f t="shared" si="49"/>
        <v>291</v>
      </c>
      <c r="AI297" s="3" t="str">
        <v>Staff Role: Storyboard (OP, eps 1, 2, 10-12)</v>
      </c>
    </row>
    <row r="298" spans="1:35" x14ac:dyDescent="0.3">
      <c r="A298" t="s">
        <v>311</v>
      </c>
      <c r="B298" s="5">
        <v>73.3333333333333</v>
      </c>
      <c r="C298" s="9">
        <v>3</v>
      </c>
      <c r="D298" s="6">
        <v>4.2164441321152499E-4</v>
      </c>
      <c r="E298" s="7">
        <v>3.0920590302178499E-2</v>
      </c>
      <c r="G298" s="3" t="str">
        <f t="shared" si="50"/>
        <v/>
      </c>
      <c r="H298" s="3"/>
      <c r="J298" s="3" t="str">
        <f t="shared" si="51"/>
        <v/>
      </c>
      <c r="K298" s="3"/>
      <c r="M298" s="3" t="str">
        <f t="shared" si="52"/>
        <v/>
      </c>
      <c r="N298" s="3"/>
      <c r="P298" s="3" t="str">
        <f t="shared" si="53"/>
        <v/>
      </c>
      <c r="Q298" s="3"/>
      <c r="S298" s="3" t="str">
        <f t="shared" si="54"/>
        <v/>
      </c>
      <c r="T298" s="3"/>
      <c r="V298" s="3" t="str">
        <f t="shared" si="55"/>
        <v/>
      </c>
      <c r="W298" s="3"/>
      <c r="Y298" s="3" t="str">
        <f t="shared" si="56"/>
        <v/>
      </c>
      <c r="Z298" s="3"/>
      <c r="AB298" s="3" t="str">
        <f t="shared" si="57"/>
        <v/>
      </c>
      <c r="AC298" s="3"/>
      <c r="AE298" s="3">
        <f t="shared" si="58"/>
        <v>292</v>
      </c>
      <c r="AF298" s="3" t="str">
        <v>Staff: Rin Suzukawa (Original Creator)</v>
      </c>
      <c r="AH298" s="3">
        <f t="shared" si="49"/>
        <v>292</v>
      </c>
      <c r="AI298" s="3" t="str">
        <v>Staff Role: Storyboard (eps 3, 7)</v>
      </c>
    </row>
    <row r="299" spans="1:35" x14ac:dyDescent="0.3">
      <c r="A299" t="s">
        <v>325</v>
      </c>
      <c r="B299" s="5">
        <v>73.3333333333333</v>
      </c>
      <c r="C299" s="9">
        <v>3</v>
      </c>
      <c r="D299" s="6">
        <v>4.2164441321152499E-4</v>
      </c>
      <c r="E299" s="7">
        <v>3.0920590302178499E-2</v>
      </c>
      <c r="G299" s="3" t="str">
        <f t="shared" si="50"/>
        <v/>
      </c>
      <c r="H299" s="3"/>
      <c r="J299" s="3" t="str">
        <f t="shared" si="51"/>
        <v/>
      </c>
      <c r="K299" s="3"/>
      <c r="M299" s="3" t="str">
        <f t="shared" si="52"/>
        <v/>
      </c>
      <c r="N299" s="3"/>
      <c r="P299" s="3" t="str">
        <f t="shared" si="53"/>
        <v/>
      </c>
      <c r="Q299" s="3"/>
      <c r="S299" s="3" t="str">
        <f t="shared" si="54"/>
        <v/>
      </c>
      <c r="T299" s="3"/>
      <c r="V299" s="3" t="str">
        <f t="shared" si="55"/>
        <v/>
      </c>
      <c r="W299" s="3"/>
      <c r="Y299" s="3" t="str">
        <f t="shared" si="56"/>
        <v/>
      </c>
      <c r="Z299" s="3"/>
      <c r="AB299" s="3" t="str">
        <f t="shared" si="57"/>
        <v/>
      </c>
      <c r="AC299" s="3"/>
      <c r="AE299" s="3">
        <f t="shared" si="58"/>
        <v>293</v>
      </c>
      <c r="AF299" s="3" t="str">
        <v>Staff: Seiji Kishi (Director)</v>
      </c>
      <c r="AH299" s="3">
        <f t="shared" si="49"/>
        <v>293</v>
      </c>
      <c r="AI299" s="3" t="str">
        <v>Staff Role: Storyboard (eps 5, 6, 8)</v>
      </c>
    </row>
    <row r="300" spans="1:35" x14ac:dyDescent="0.3">
      <c r="A300" t="s">
        <v>333</v>
      </c>
      <c r="B300" s="5">
        <v>73.3333333333333</v>
      </c>
      <c r="C300" s="9">
        <v>3</v>
      </c>
      <c r="D300" s="6">
        <v>4.2164441321152499E-4</v>
      </c>
      <c r="E300" s="7">
        <v>3.0920590302178499E-2</v>
      </c>
      <c r="G300" s="3" t="str">
        <f t="shared" si="50"/>
        <v/>
      </c>
      <c r="H300" s="3"/>
      <c r="J300" s="3" t="str">
        <f t="shared" si="51"/>
        <v/>
      </c>
      <c r="K300" s="3"/>
      <c r="M300" s="3" t="str">
        <f t="shared" si="52"/>
        <v/>
      </c>
      <c r="N300" s="3"/>
      <c r="P300" s="3" t="str">
        <f t="shared" si="53"/>
        <v/>
      </c>
      <c r="Q300" s="3"/>
      <c r="S300" s="3" t="str">
        <f t="shared" si="54"/>
        <v/>
      </c>
      <c r="T300" s="3"/>
      <c r="V300" s="3" t="str">
        <f t="shared" si="55"/>
        <v/>
      </c>
      <c r="W300" s="3"/>
      <c r="Y300" s="3" t="str">
        <f t="shared" si="56"/>
        <v/>
      </c>
      <c r="Z300" s="3"/>
      <c r="AB300" s="3" t="str">
        <f t="shared" si="57"/>
        <v/>
      </c>
      <c r="AC300" s="3"/>
      <c r="AE300" s="3">
        <f t="shared" si="58"/>
        <v>294</v>
      </c>
      <c r="AF300" s="3" t="str">
        <v>Staff: Keiko Kurosawa (Character Design)</v>
      </c>
      <c r="AH300" s="3">
        <f t="shared" si="49"/>
        <v>294</v>
      </c>
      <c r="AI300" s="3" t="str">
        <v>Staff Role: Storyboard (eps 4, 9)</v>
      </c>
    </row>
    <row r="301" spans="1:35" x14ac:dyDescent="0.3">
      <c r="A301" t="s">
        <v>338</v>
      </c>
      <c r="B301" s="5">
        <v>73.3333333333333</v>
      </c>
      <c r="C301" s="9">
        <v>3</v>
      </c>
      <c r="D301" s="6">
        <v>4.2164441321152499E-4</v>
      </c>
      <c r="E301" s="7">
        <v>3.0920590302178499E-2</v>
      </c>
      <c r="G301" s="3" t="str">
        <f t="shared" si="50"/>
        <v/>
      </c>
      <c r="H301" s="3"/>
      <c r="J301" s="3" t="str">
        <f t="shared" si="51"/>
        <v/>
      </c>
      <c r="K301" s="3"/>
      <c r="M301" s="3" t="str">
        <f t="shared" si="52"/>
        <v/>
      </c>
      <c r="N301" s="3"/>
      <c r="P301" s="3" t="str">
        <f t="shared" si="53"/>
        <v/>
      </c>
      <c r="Q301" s="3"/>
      <c r="S301" s="3" t="str">
        <f t="shared" si="54"/>
        <v/>
      </c>
      <c r="T301" s="3"/>
      <c r="V301" s="3" t="str">
        <f t="shared" si="55"/>
        <v/>
      </c>
      <c r="W301" s="3"/>
      <c r="Y301" s="3" t="str">
        <f t="shared" si="56"/>
        <v/>
      </c>
      <c r="Z301" s="3"/>
      <c r="AB301" s="3" t="str">
        <f t="shared" si="57"/>
        <v/>
      </c>
      <c r="AC301" s="3"/>
      <c r="AE301" s="3">
        <f t="shared" si="58"/>
        <v>295</v>
      </c>
      <c r="AF301" s="3" t="str">
        <v>Staff: Yuu Kinome (Assistant Director)</v>
      </c>
      <c r="AH301" s="3">
        <f t="shared" si="49"/>
        <v>295</v>
      </c>
      <c r="AI301" s="3" t="str">
        <v>Staff Role: Episode Director (eps 1, 10-12)</v>
      </c>
    </row>
    <row r="302" spans="1:35" x14ac:dyDescent="0.3">
      <c r="A302" t="s">
        <v>388</v>
      </c>
      <c r="B302" s="5">
        <v>73.3333333333333</v>
      </c>
      <c r="C302" s="9">
        <v>3</v>
      </c>
      <c r="D302" s="6">
        <v>4.2164441321152499E-4</v>
      </c>
      <c r="E302" s="7">
        <v>3.0920590302178499E-2</v>
      </c>
      <c r="G302" s="3" t="str">
        <f t="shared" si="50"/>
        <v/>
      </c>
      <c r="H302" s="3"/>
      <c r="J302" s="3" t="str">
        <f t="shared" si="51"/>
        <v/>
      </c>
      <c r="K302" s="3"/>
      <c r="M302" s="3" t="str">
        <f t="shared" si="52"/>
        <v/>
      </c>
      <c r="N302" s="3"/>
      <c r="P302" s="3" t="str">
        <f t="shared" si="53"/>
        <v/>
      </c>
      <c r="Q302" s="3"/>
      <c r="S302" s="3" t="str">
        <f t="shared" si="54"/>
        <v/>
      </c>
      <c r="T302" s="3"/>
      <c r="V302" s="3" t="str">
        <f t="shared" si="55"/>
        <v/>
      </c>
      <c r="W302" s="3"/>
      <c r="Y302" s="3" t="str">
        <f t="shared" si="56"/>
        <v/>
      </c>
      <c r="Z302" s="3"/>
      <c r="AB302" s="3" t="str">
        <f t="shared" si="57"/>
        <v/>
      </c>
      <c r="AC302" s="3"/>
      <c r="AE302" s="3">
        <f t="shared" si="58"/>
        <v>296</v>
      </c>
      <c r="AF302" s="3" t="str">
        <v>Staff: Konomi Kohara (Theme Song Performance (OP, ED))</v>
      </c>
      <c r="AH302" s="3">
        <f t="shared" si="49"/>
        <v>296</v>
      </c>
      <c r="AI302" s="3" t="str">
        <v>Staff Role: Episode Director (eps 6, 8)</v>
      </c>
    </row>
    <row r="303" spans="1:35" x14ac:dyDescent="0.3">
      <c r="A303" t="s">
        <v>395</v>
      </c>
      <c r="B303" s="5">
        <v>73.3333333333333</v>
      </c>
      <c r="C303" s="9">
        <v>3</v>
      </c>
      <c r="D303" s="6">
        <v>4.2164441321152499E-4</v>
      </c>
      <c r="E303" s="7">
        <v>3.0920590302178499E-2</v>
      </c>
      <c r="G303" s="3" t="str">
        <f t="shared" si="50"/>
        <v/>
      </c>
      <c r="H303" s="3"/>
      <c r="J303" s="3" t="str">
        <f t="shared" si="51"/>
        <v/>
      </c>
      <c r="K303" s="3"/>
      <c r="M303" s="3" t="str">
        <f t="shared" si="52"/>
        <v/>
      </c>
      <c r="N303" s="3"/>
      <c r="P303" s="3" t="str">
        <f t="shared" si="53"/>
        <v/>
      </c>
      <c r="Q303" s="3"/>
      <c r="S303" s="3" t="str">
        <f t="shared" si="54"/>
        <v/>
      </c>
      <c r="T303" s="3"/>
      <c r="V303" s="3" t="str">
        <f t="shared" si="55"/>
        <v/>
      </c>
      <c r="W303" s="3"/>
      <c r="Y303" s="3" t="str">
        <f t="shared" si="56"/>
        <v/>
      </c>
      <c r="Z303" s="3"/>
      <c r="AB303" s="3" t="str">
        <f t="shared" si="57"/>
        <v/>
      </c>
      <c r="AC303" s="3"/>
      <c r="AE303" s="3">
        <f t="shared" si="58"/>
        <v>297</v>
      </c>
      <c r="AF303" s="3" t="str">
        <v>Staff: Hina Kino (Theme Song Performance (OP, ED))</v>
      </c>
      <c r="AH303" s="3">
        <f t="shared" si="49"/>
        <v>297</v>
      </c>
      <c r="AI303" s="3" t="str">
        <v>Staff Role: Episode Director (eps 4, 9)</v>
      </c>
    </row>
    <row r="304" spans="1:35" x14ac:dyDescent="0.3">
      <c r="A304" t="s">
        <v>609</v>
      </c>
      <c r="B304" s="5">
        <v>73.3333333333333</v>
      </c>
      <c r="C304" s="9">
        <v>3</v>
      </c>
      <c r="D304" s="6">
        <v>4.2164441321152499E-4</v>
      </c>
      <c r="E304" s="7">
        <v>3.0920590302178499E-2</v>
      </c>
      <c r="G304" s="3" t="str">
        <f t="shared" si="50"/>
        <v/>
      </c>
      <c r="H304" s="3"/>
      <c r="J304" s="3" t="str">
        <f t="shared" si="51"/>
        <v/>
      </c>
      <c r="K304" s="3"/>
      <c r="M304" s="3" t="str">
        <f t="shared" si="52"/>
        <v/>
      </c>
      <c r="N304" s="3"/>
      <c r="P304" s="3" t="str">
        <f t="shared" si="53"/>
        <v/>
      </c>
      <c r="Q304" s="3"/>
      <c r="S304" s="3" t="str">
        <f t="shared" si="54"/>
        <v/>
      </c>
      <c r="T304" s="3"/>
      <c r="V304" s="3" t="str">
        <f t="shared" si="55"/>
        <v/>
      </c>
      <c r="W304" s="3"/>
      <c r="Y304" s="3" t="str">
        <f t="shared" si="56"/>
        <v/>
      </c>
      <c r="Z304" s="3"/>
      <c r="AB304" s="3" t="str">
        <f t="shared" si="57"/>
        <v/>
      </c>
      <c r="AC304" s="3"/>
      <c r="AE304" s="3">
        <f t="shared" si="58"/>
        <v>298</v>
      </c>
      <c r="AF304" s="3" t="str">
        <v>Staff: Rika Nagae (Theme Song Performance (OP, ED))</v>
      </c>
      <c r="AH304" s="3">
        <f t="shared" si="49"/>
        <v>298</v>
      </c>
      <c r="AI304" s="3" t="str">
        <v>Staff Role: Episode Director (eps 2, 10)</v>
      </c>
    </row>
    <row r="305" spans="1:35" x14ac:dyDescent="0.3">
      <c r="A305" t="s">
        <v>706</v>
      </c>
      <c r="B305" s="5">
        <v>73.3333333333333</v>
      </c>
      <c r="C305" s="9">
        <v>3</v>
      </c>
      <c r="D305" s="6">
        <v>4.2164441321152499E-4</v>
      </c>
      <c r="E305" s="7">
        <v>3.0920590302178499E-2</v>
      </c>
      <c r="G305" s="3" t="str">
        <f t="shared" si="50"/>
        <v/>
      </c>
      <c r="H305" s="3"/>
      <c r="J305" s="3" t="str">
        <f t="shared" si="51"/>
        <v/>
      </c>
      <c r="K305" s="3"/>
      <c r="M305" s="3" t="str">
        <f t="shared" si="52"/>
        <v/>
      </c>
      <c r="N305" s="3"/>
      <c r="P305" s="3" t="str">
        <f t="shared" si="53"/>
        <v/>
      </c>
      <c r="Q305" s="3"/>
      <c r="S305" s="3" t="str">
        <f t="shared" si="54"/>
        <v/>
      </c>
      <c r="T305" s="3"/>
      <c r="V305" s="3" t="str">
        <f t="shared" si="55"/>
        <v/>
      </c>
      <c r="W305" s="3"/>
      <c r="Y305" s="3" t="str">
        <f t="shared" si="56"/>
        <v/>
      </c>
      <c r="Z305" s="3"/>
      <c r="AB305" s="3" t="str">
        <f t="shared" si="57"/>
        <v/>
      </c>
      <c r="AC305" s="3"/>
      <c r="AE305" s="3">
        <f t="shared" si="58"/>
        <v>299</v>
      </c>
      <c r="AF305" s="3" t="str">
        <v>Staff: Shinyo Kondou (Director of Photography)</v>
      </c>
      <c r="AH305" s="3">
        <f t="shared" si="49"/>
        <v>299</v>
      </c>
      <c r="AI305" s="3" t="str">
        <v>Staff Role: Script (1, 8, 12)</v>
      </c>
    </row>
    <row r="306" spans="1:35" x14ac:dyDescent="0.3">
      <c r="A306" t="s">
        <v>750</v>
      </c>
      <c r="B306" s="5">
        <v>73.3333333333333</v>
      </c>
      <c r="C306" s="9">
        <v>3</v>
      </c>
      <c r="D306" s="6">
        <v>4.2164441321152499E-4</v>
      </c>
      <c r="E306" s="7">
        <v>3.0920590302178499E-2</v>
      </c>
      <c r="G306" s="3" t="str">
        <f t="shared" si="50"/>
        <v/>
      </c>
      <c r="H306" s="3"/>
      <c r="J306" s="3" t="str">
        <f t="shared" si="51"/>
        <v/>
      </c>
      <c r="K306" s="3"/>
      <c r="M306" s="3" t="str">
        <f t="shared" si="52"/>
        <v/>
      </c>
      <c r="N306" s="3"/>
      <c r="P306" s="3" t="str">
        <f t="shared" si="53"/>
        <v/>
      </c>
      <c r="Q306" s="3"/>
      <c r="S306" s="3" t="str">
        <f t="shared" si="54"/>
        <v/>
      </c>
      <c r="T306" s="3"/>
      <c r="V306" s="3" t="str">
        <f t="shared" si="55"/>
        <v/>
      </c>
      <c r="W306" s="3"/>
      <c r="Y306" s="3" t="str">
        <f t="shared" si="56"/>
        <v/>
      </c>
      <c r="Z306" s="3"/>
      <c r="AB306" s="3" t="str">
        <f t="shared" si="57"/>
        <v/>
      </c>
      <c r="AC306" s="3"/>
      <c r="AE306" s="3">
        <f t="shared" si="58"/>
        <v>300</v>
      </c>
      <c r="AF306" s="3" t="str">
        <v>Staff: Mamiko Nakanishi (Key Animation (ep 8))</v>
      </c>
      <c r="AH306" s="3">
        <f t="shared" si="49"/>
        <v>300</v>
      </c>
      <c r="AI306" s="3" t="str">
        <v>Staff Role: Storyboard  (eps 16, 24)</v>
      </c>
    </row>
    <row r="307" spans="1:35" x14ac:dyDescent="0.3">
      <c r="A307" t="s">
        <v>874</v>
      </c>
      <c r="B307" s="5">
        <v>73.3333333333333</v>
      </c>
      <c r="C307" s="9">
        <v>3</v>
      </c>
      <c r="D307" s="6">
        <v>4.2164441321152499E-4</v>
      </c>
      <c r="E307" s="7">
        <v>3.0920590302178499E-2</v>
      </c>
      <c r="G307" s="3" t="str">
        <f t="shared" si="50"/>
        <v/>
      </c>
      <c r="H307" s="3"/>
      <c r="J307" s="3" t="str">
        <f t="shared" si="51"/>
        <v/>
      </c>
      <c r="K307" s="3"/>
      <c r="M307" s="3" t="str">
        <f t="shared" si="52"/>
        <v/>
      </c>
      <c r="N307" s="3"/>
      <c r="P307" s="3" t="str">
        <f t="shared" si="53"/>
        <v/>
      </c>
      <c r="Q307" s="3"/>
      <c r="S307" s="3" t="str">
        <f t="shared" si="54"/>
        <v/>
      </c>
      <c r="T307" s="3"/>
      <c r="V307" s="3" t="str">
        <f t="shared" si="55"/>
        <v/>
      </c>
      <c r="W307" s="3"/>
      <c r="Y307" s="3" t="str">
        <f t="shared" si="56"/>
        <v/>
      </c>
      <c r="Z307" s="3"/>
      <c r="AB307" s="3" t="str">
        <f t="shared" si="57"/>
        <v/>
      </c>
      <c r="AC307" s="3"/>
      <c r="AE307" s="3">
        <f t="shared" si="58"/>
        <v>301</v>
      </c>
      <c r="AF307" s="3" t="str">
        <v>Staff: Mani Inaka (Key Animation (eps 8-11))</v>
      </c>
      <c r="AH307" s="3">
        <f t="shared" si="49"/>
        <v>301</v>
      </c>
      <c r="AI307" s="3" t="str">
        <v>Staff Role: Key Animation (ep 4, 9)</v>
      </c>
    </row>
    <row r="308" spans="1:35" x14ac:dyDescent="0.3">
      <c r="A308" t="str">
        <f>HYPERLINK("https://anilist.co/staff/102404","Staff: Yasuhiro Misawa (Music)")</f>
        <v>Staff: Yasuhiro Misawa (Music)</v>
      </c>
      <c r="B308" s="5">
        <v>73.3333333333333</v>
      </c>
      <c r="C308" s="9">
        <v>3</v>
      </c>
      <c r="D308" s="6">
        <v>4.2164441321152499E-4</v>
      </c>
      <c r="E308" s="7">
        <v>3.0920590302178499E-2</v>
      </c>
      <c r="G308" s="3" t="str">
        <f t="shared" si="50"/>
        <v/>
      </c>
      <c r="H308" s="3"/>
      <c r="J308" s="3" t="str">
        <f t="shared" si="51"/>
        <v/>
      </c>
      <c r="K308" s="3"/>
      <c r="M308" s="3" t="str">
        <f t="shared" si="52"/>
        <v/>
      </c>
      <c r="N308" s="3"/>
      <c r="P308" s="3" t="str">
        <f t="shared" si="53"/>
        <v/>
      </c>
      <c r="Q308" s="3"/>
      <c r="S308" s="3" t="str">
        <f t="shared" si="54"/>
        <v/>
      </c>
      <c r="T308" s="3"/>
      <c r="V308" s="3" t="str">
        <f t="shared" si="55"/>
        <v/>
      </c>
      <c r="W308" s="3"/>
      <c r="Y308" s="3" t="str">
        <f t="shared" si="56"/>
        <v/>
      </c>
      <c r="Z308" s="3"/>
      <c r="AB308" s="3" t="str">
        <f t="shared" si="57"/>
        <v/>
      </c>
      <c r="AC308" s="3"/>
      <c r="AE308" s="3">
        <f t="shared" si="58"/>
        <v>302</v>
      </c>
      <c r="AF308" s="3" t="str">
        <v>Staff: Sakiko Itou (Color Design)</v>
      </c>
      <c r="AH308" s="3">
        <f t="shared" si="49"/>
        <v>302</v>
      </c>
      <c r="AI308" s="3" t="str">
        <v>Staff Role: Key Animation  (ep 4)</v>
      </c>
    </row>
    <row r="309" spans="1:35" x14ac:dyDescent="0.3">
      <c r="A309" t="str">
        <f>HYPERLINK("https://anilist.co/staff/148536","Staff: Kei Ishiguro (Color Design)")</f>
        <v>Staff: Kei Ishiguro (Color Design)</v>
      </c>
      <c r="B309" s="5">
        <v>73.3333333333333</v>
      </c>
      <c r="C309" s="9">
        <v>3</v>
      </c>
      <c r="D309" s="6">
        <v>4.2164441321152499E-4</v>
      </c>
      <c r="E309" s="7">
        <v>3.0920590302178499E-2</v>
      </c>
      <c r="G309" s="3" t="str">
        <f t="shared" si="50"/>
        <v/>
      </c>
      <c r="H309" s="3"/>
      <c r="J309" s="3" t="str">
        <f t="shared" si="51"/>
        <v/>
      </c>
      <c r="K309" s="3"/>
      <c r="M309" s="3" t="str">
        <f t="shared" si="52"/>
        <v/>
      </c>
      <c r="N309" s="3"/>
      <c r="P309" s="3" t="str">
        <f t="shared" si="53"/>
        <v/>
      </c>
      <c r="Q309" s="3"/>
      <c r="S309" s="3" t="str">
        <f t="shared" si="54"/>
        <v/>
      </c>
      <c r="T309" s="3"/>
      <c r="V309" s="3" t="str">
        <f t="shared" si="55"/>
        <v/>
      </c>
      <c r="W309" s="3"/>
      <c r="Y309" s="3" t="str">
        <f t="shared" si="56"/>
        <v/>
      </c>
      <c r="Z309" s="3"/>
      <c r="AB309" s="3" t="str">
        <f t="shared" si="57"/>
        <v/>
      </c>
      <c r="AC309" s="3"/>
      <c r="AE309" s="3">
        <f t="shared" si="58"/>
        <v>303</v>
      </c>
      <c r="AF309" s="3" t="str">
        <v>Staff: Keiko Kurosawa (Chief Animation Director)</v>
      </c>
      <c r="AH309" s="3">
        <f t="shared" si="49"/>
        <v>303</v>
      </c>
      <c r="AI309" s="3" t="str">
        <v>Staff Role: Animation Director  (OP/ED, Ep. 14)</v>
      </c>
    </row>
    <row r="310" spans="1:35" x14ac:dyDescent="0.3">
      <c r="A310" t="str">
        <f>HYPERLINK("https://anilist.co/staff/103538","Staff: Yoshimasa Hiraike (Director)")</f>
        <v>Staff: Yoshimasa Hiraike (Director)</v>
      </c>
      <c r="B310" s="5">
        <v>73.3333333333333</v>
      </c>
      <c r="C310" s="9">
        <v>3</v>
      </c>
      <c r="D310" s="6">
        <v>4.2164441321152499E-4</v>
      </c>
      <c r="E310" s="7">
        <v>3.0920590302178499E-2</v>
      </c>
      <c r="G310" s="3" t="str">
        <f t="shared" si="50"/>
        <v/>
      </c>
      <c r="H310" s="3"/>
      <c r="J310" s="3" t="str">
        <f t="shared" si="51"/>
        <v/>
      </c>
      <c r="K310" s="3"/>
      <c r="M310" s="3" t="str">
        <f t="shared" si="52"/>
        <v/>
      </c>
      <c r="N310" s="3"/>
      <c r="P310" s="3" t="str">
        <f t="shared" si="53"/>
        <v/>
      </c>
      <c r="Q310" s="3"/>
      <c r="S310" s="3" t="str">
        <f t="shared" si="54"/>
        <v/>
      </c>
      <c r="T310" s="3"/>
      <c r="V310" s="3" t="str">
        <f t="shared" si="55"/>
        <v/>
      </c>
      <c r="W310" s="3"/>
      <c r="Y310" s="3" t="str">
        <f t="shared" si="56"/>
        <v/>
      </c>
      <c r="Z310" s="3"/>
      <c r="AB310" s="3" t="str">
        <f t="shared" si="57"/>
        <v/>
      </c>
      <c r="AC310" s="3"/>
      <c r="AE310" s="3">
        <f t="shared" si="58"/>
        <v>304</v>
      </c>
      <c r="AF310" s="3" t="str">
        <v>Staff: Nobuhito Sue (Art Design)</v>
      </c>
      <c r="AH310" s="3">
        <f t="shared" si="49"/>
        <v>304</v>
      </c>
      <c r="AI310" s="3" t="str">
        <v>Staff Role: Storyboard (ED, eps 1-3, 7, 9, 17, 23, 26)</v>
      </c>
    </row>
    <row r="311" spans="1:35" x14ac:dyDescent="0.3">
      <c r="A311" t="str">
        <f>HYPERLINK("https://anilist.co/staff/110641","Staff: Kazuyuki Fudeyasu (Series Composition)")</f>
        <v>Staff: Kazuyuki Fudeyasu (Series Composition)</v>
      </c>
      <c r="B311" s="5">
        <v>73.3333333333333</v>
      </c>
      <c r="C311" s="9">
        <v>3</v>
      </c>
      <c r="D311" s="6">
        <v>4.2164441321152499E-4</v>
      </c>
      <c r="E311" s="7">
        <v>3.0920590302178499E-2</v>
      </c>
      <c r="G311" s="3" t="str">
        <f t="shared" si="50"/>
        <v/>
      </c>
      <c r="H311" s="3"/>
      <c r="J311" s="3" t="str">
        <f t="shared" si="51"/>
        <v/>
      </c>
      <c r="K311" s="3"/>
      <c r="M311" s="3" t="str">
        <f t="shared" si="52"/>
        <v/>
      </c>
      <c r="N311" s="3"/>
      <c r="P311" s="3" t="str">
        <f t="shared" si="53"/>
        <v/>
      </c>
      <c r="Q311" s="3"/>
      <c r="S311" s="3" t="str">
        <f t="shared" si="54"/>
        <v/>
      </c>
      <c r="T311" s="3"/>
      <c r="V311" s="3" t="str">
        <f t="shared" si="55"/>
        <v/>
      </c>
      <c r="W311" s="3"/>
      <c r="Y311" s="3" t="str">
        <f t="shared" si="56"/>
        <v/>
      </c>
      <c r="Z311" s="3"/>
      <c r="AB311" s="3" t="str">
        <f t="shared" si="57"/>
        <v/>
      </c>
      <c r="AC311" s="3"/>
      <c r="AE311" s="3">
        <f t="shared" si="58"/>
        <v>305</v>
      </c>
      <c r="AF311" s="3" t="str">
        <v>Staff: Masaki Sakamoto (Editing)</v>
      </c>
      <c r="AH311" s="3">
        <f t="shared" si="49"/>
        <v>305</v>
      </c>
      <c r="AI311" s="3" t="str">
        <v>Staff Role: Animation Director (ep 4)</v>
      </c>
    </row>
    <row r="312" spans="1:35" x14ac:dyDescent="0.3">
      <c r="A312" t="s">
        <v>44</v>
      </c>
      <c r="B312" s="5">
        <v>70</v>
      </c>
      <c r="C312" s="9">
        <v>3</v>
      </c>
      <c r="D312" s="6">
        <v>4.2164441321152499E-4</v>
      </c>
      <c r="E312" s="7">
        <v>2.9515108924806702E-2</v>
      </c>
      <c r="G312" s="3" t="str">
        <f t="shared" si="50"/>
        <v/>
      </c>
      <c r="H312" s="3"/>
      <c r="J312" s="3" t="str">
        <f t="shared" si="51"/>
        <v/>
      </c>
      <c r="K312" s="3"/>
      <c r="M312" s="3" t="str">
        <f t="shared" si="52"/>
        <v/>
      </c>
      <c r="N312" s="3"/>
      <c r="P312" s="3" t="str">
        <f t="shared" si="53"/>
        <v/>
      </c>
      <c r="Q312" s="3"/>
      <c r="S312" s="3" t="str">
        <f t="shared" si="54"/>
        <v/>
      </c>
      <c r="T312" s="3"/>
      <c r="V312" s="3" t="str">
        <f t="shared" si="55"/>
        <v/>
      </c>
      <c r="W312" s="3"/>
      <c r="Y312" s="3" t="str">
        <f t="shared" si="56"/>
        <v/>
      </c>
      <c r="Z312" s="3"/>
      <c r="AB312" s="3" t="str">
        <f t="shared" si="57"/>
        <v/>
      </c>
      <c r="AC312" s="3"/>
      <c r="AE312" s="3">
        <f t="shared" si="58"/>
        <v>306</v>
      </c>
      <c r="AF312" s="3" t="str">
        <v>Staff: Yuki Umino (Art Director)</v>
      </c>
      <c r="AH312" s="3">
        <f t="shared" si="49"/>
        <v>306</v>
      </c>
      <c r="AI312" s="3" t="str">
        <v>Staff Role: Key Animation (eps 2, 26)</v>
      </c>
    </row>
    <row r="313" spans="1:35" x14ac:dyDescent="0.3">
      <c r="A313" t="s">
        <v>50</v>
      </c>
      <c r="B313" s="5">
        <v>70</v>
      </c>
      <c r="C313" s="9">
        <v>3</v>
      </c>
      <c r="D313" s="6">
        <v>4.2164441321152499E-4</v>
      </c>
      <c r="E313" s="7">
        <v>2.9515108924806702E-2</v>
      </c>
      <c r="G313" s="3" t="str">
        <f t="shared" si="50"/>
        <v/>
      </c>
      <c r="H313" s="3"/>
      <c r="J313" s="3" t="str">
        <f t="shared" si="51"/>
        <v/>
      </c>
      <c r="K313" s="3"/>
      <c r="M313" s="3" t="str">
        <f t="shared" si="52"/>
        <v/>
      </c>
      <c r="N313" s="3"/>
      <c r="P313" s="3" t="str">
        <f t="shared" si="53"/>
        <v/>
      </c>
      <c r="Q313" s="3"/>
      <c r="S313" s="3" t="str">
        <f t="shared" si="54"/>
        <v/>
      </c>
      <c r="T313" s="3"/>
      <c r="V313" s="3" t="str">
        <f t="shared" si="55"/>
        <v/>
      </c>
      <c r="W313" s="3"/>
      <c r="Y313" s="3" t="str">
        <f t="shared" si="56"/>
        <v/>
      </c>
      <c r="Z313" s="3"/>
      <c r="AB313" s="3" t="str">
        <f t="shared" si="57"/>
        <v/>
      </c>
      <c r="AC313" s="3"/>
      <c r="AE313" s="3">
        <f t="shared" si="58"/>
        <v>307</v>
      </c>
      <c r="AF313" s="3" t="str">
        <v>Staff: Yuuko Kakihara (Script)</v>
      </c>
      <c r="AH313" s="3">
        <f t="shared" si="49"/>
        <v>307</v>
      </c>
      <c r="AI313" s="3" t="str">
        <v>Staff Role: Theme Song Lyrics</v>
      </c>
    </row>
    <row r="314" spans="1:35" x14ac:dyDescent="0.3">
      <c r="A314" t="s">
        <v>163</v>
      </c>
      <c r="B314" s="5">
        <v>70</v>
      </c>
      <c r="C314" s="9">
        <v>3</v>
      </c>
      <c r="D314" s="6">
        <v>4.2164441321152499E-4</v>
      </c>
      <c r="E314" s="7">
        <v>2.9515108924806702E-2</v>
      </c>
      <c r="G314" s="3" t="str">
        <f t="shared" si="50"/>
        <v/>
      </c>
      <c r="H314" s="3"/>
      <c r="J314" s="3" t="str">
        <f t="shared" si="51"/>
        <v/>
      </c>
      <c r="K314" s="3"/>
      <c r="M314" s="3" t="str">
        <f t="shared" si="52"/>
        <v/>
      </c>
      <c r="N314" s="3"/>
      <c r="P314" s="3" t="str">
        <f t="shared" si="53"/>
        <v/>
      </c>
      <c r="Q314" s="3"/>
      <c r="S314" s="3" t="str">
        <f t="shared" si="54"/>
        <v/>
      </c>
      <c r="T314" s="3"/>
      <c r="V314" s="3" t="str">
        <f t="shared" si="55"/>
        <v/>
      </c>
      <c r="W314" s="3"/>
      <c r="Y314" s="3" t="str">
        <f t="shared" si="56"/>
        <v/>
      </c>
      <c r="Z314" s="3"/>
      <c r="AB314" s="3" t="str">
        <f t="shared" si="57"/>
        <v/>
      </c>
      <c r="AC314" s="3"/>
      <c r="AE314" s="3">
        <f t="shared" si="58"/>
        <v>308</v>
      </c>
      <c r="AF314" s="3" t="str">
        <v>Staff: Yuuji Higa (Animation Producer)</v>
      </c>
      <c r="AH314" s="3">
        <f t="shared" si="49"/>
        <v>308</v>
      </c>
      <c r="AI314" s="3" t="str">
        <v>Staff Role: Key Animation  (eps 2, 7, 10)</v>
      </c>
    </row>
    <row r="315" spans="1:35" x14ac:dyDescent="0.3">
      <c r="A315" t="s">
        <v>182</v>
      </c>
      <c r="B315" s="5">
        <v>70</v>
      </c>
      <c r="C315" s="9">
        <v>3</v>
      </c>
      <c r="D315" s="6">
        <v>4.2164441321152499E-4</v>
      </c>
      <c r="E315" s="7">
        <v>2.9515108924806702E-2</v>
      </c>
      <c r="G315" s="3" t="str">
        <f t="shared" si="50"/>
        <v/>
      </c>
      <c r="H315" s="3"/>
      <c r="J315" s="3" t="str">
        <f t="shared" si="51"/>
        <v/>
      </c>
      <c r="K315" s="3"/>
      <c r="M315" s="3" t="str">
        <f t="shared" si="52"/>
        <v/>
      </c>
      <c r="N315" s="3"/>
      <c r="P315" s="3" t="str">
        <f t="shared" si="53"/>
        <v/>
      </c>
      <c r="Q315" s="3"/>
      <c r="S315" s="3" t="str">
        <f t="shared" si="54"/>
        <v/>
      </c>
      <c r="T315" s="3"/>
      <c r="V315" s="3" t="str">
        <f t="shared" si="55"/>
        <v/>
      </c>
      <c r="W315" s="3"/>
      <c r="Y315" s="3" t="str">
        <f t="shared" si="56"/>
        <v/>
      </c>
      <c r="Z315" s="3"/>
      <c r="AB315" s="3" t="str">
        <f t="shared" si="57"/>
        <v/>
      </c>
      <c r="AC315" s="3"/>
      <c r="AE315" s="3">
        <f t="shared" si="58"/>
        <v>309</v>
      </c>
      <c r="AF315" s="3" t="str">
        <v>Staff: Shibata Masafusa (Title Logo Design)</v>
      </c>
      <c r="AH315" s="3">
        <f t="shared" si="49"/>
        <v>309</v>
      </c>
      <c r="AI315" s="3" t="str">
        <v>Staff Role: Chief Animation Director (eps 3, 6, 9, 12)</v>
      </c>
    </row>
    <row r="316" spans="1:35" x14ac:dyDescent="0.3">
      <c r="A316" t="s">
        <v>224</v>
      </c>
      <c r="B316" s="5">
        <v>70</v>
      </c>
      <c r="C316" s="9">
        <v>3</v>
      </c>
      <c r="D316" s="6">
        <v>4.2164441321152499E-4</v>
      </c>
      <c r="E316" s="7">
        <v>2.9515108924806702E-2</v>
      </c>
      <c r="G316" s="3" t="str">
        <f t="shared" si="50"/>
        <v/>
      </c>
      <c r="H316" s="3"/>
      <c r="J316" s="3" t="str">
        <f t="shared" si="51"/>
        <v/>
      </c>
      <c r="K316" s="3"/>
      <c r="M316" s="3" t="str">
        <f t="shared" si="52"/>
        <v/>
      </c>
      <c r="N316" s="3"/>
      <c r="P316" s="3" t="str">
        <f t="shared" si="53"/>
        <v/>
      </c>
      <c r="Q316" s="3"/>
      <c r="S316" s="3" t="str">
        <f t="shared" si="54"/>
        <v/>
      </c>
      <c r="T316" s="3"/>
      <c r="V316" s="3" t="str">
        <f t="shared" si="55"/>
        <v/>
      </c>
      <c r="W316" s="3"/>
      <c r="Y316" s="3" t="str">
        <f t="shared" si="56"/>
        <v/>
      </c>
      <c r="Z316" s="3"/>
      <c r="AB316" s="3" t="str">
        <f t="shared" si="57"/>
        <v/>
      </c>
      <c r="AC316" s="3"/>
      <c r="AE316" s="3">
        <f t="shared" si="58"/>
        <v>310</v>
      </c>
      <c r="AF316" s="3" t="str">
        <v>Staff: Yuu Kinome (Storyboard (OP, eps 1-12))</v>
      </c>
      <c r="AH316" s="3">
        <f t="shared" si="49"/>
        <v>310</v>
      </c>
      <c r="AI316" s="3" t="str">
        <v>Staff Role: Chief Animation Director (eps 4, 7, 10, 12)</v>
      </c>
    </row>
    <row r="317" spans="1:35" x14ac:dyDescent="0.3">
      <c r="A317" t="s">
        <v>227</v>
      </c>
      <c r="B317" s="5">
        <v>70</v>
      </c>
      <c r="C317" s="9">
        <v>3</v>
      </c>
      <c r="D317" s="6">
        <v>4.2164441321152499E-4</v>
      </c>
      <c r="E317" s="7">
        <v>2.9515108924806702E-2</v>
      </c>
      <c r="G317" s="3" t="str">
        <f t="shared" si="50"/>
        <v/>
      </c>
      <c r="H317" s="3"/>
      <c r="J317" s="3" t="str">
        <f t="shared" si="51"/>
        <v/>
      </c>
      <c r="K317" s="3"/>
      <c r="M317" s="3" t="str">
        <f t="shared" si="52"/>
        <v/>
      </c>
      <c r="N317" s="3"/>
      <c r="P317" s="3" t="str">
        <f t="shared" si="53"/>
        <v/>
      </c>
      <c r="Q317" s="3"/>
      <c r="S317" s="3" t="str">
        <f t="shared" si="54"/>
        <v/>
      </c>
      <c r="T317" s="3"/>
      <c r="V317" s="3" t="str">
        <f t="shared" si="55"/>
        <v/>
      </c>
      <c r="W317" s="3"/>
      <c r="Y317" s="3" t="str">
        <f t="shared" si="56"/>
        <v/>
      </c>
      <c r="Z317" s="3"/>
      <c r="AB317" s="3" t="str">
        <f t="shared" si="57"/>
        <v/>
      </c>
      <c r="AC317" s="3"/>
      <c r="AE317" s="3">
        <f t="shared" si="58"/>
        <v>311</v>
      </c>
      <c r="AF317" s="3" t="str">
        <v>Staff: Seiji Kishi (Storyboard (ED))</v>
      </c>
      <c r="AH317" s="3">
        <f t="shared" si="49"/>
        <v>311</v>
      </c>
      <c r="AI317" s="3" t="str">
        <v>Staff Role: Chief Animation Director (eps 1, 2, 5, 8, 11, 12)</v>
      </c>
    </row>
    <row r="318" spans="1:35" x14ac:dyDescent="0.3">
      <c r="A318" t="s">
        <v>230</v>
      </c>
      <c r="B318" s="5">
        <v>70</v>
      </c>
      <c r="C318" s="9">
        <v>3</v>
      </c>
      <c r="D318" s="6">
        <v>4.2164441321152499E-4</v>
      </c>
      <c r="E318" s="7">
        <v>2.9515108924806702E-2</v>
      </c>
      <c r="G318" s="3" t="str">
        <f t="shared" si="50"/>
        <v/>
      </c>
      <c r="H318" s="3"/>
      <c r="J318" s="3" t="str">
        <f t="shared" si="51"/>
        <v/>
      </c>
      <c r="K318" s="3"/>
      <c r="M318" s="3" t="str">
        <f t="shared" si="52"/>
        <v/>
      </c>
      <c r="N318" s="3"/>
      <c r="P318" s="3" t="str">
        <f t="shared" si="53"/>
        <v/>
      </c>
      <c r="Q318" s="3"/>
      <c r="S318" s="3" t="str">
        <f t="shared" si="54"/>
        <v/>
      </c>
      <c r="T318" s="3"/>
      <c r="V318" s="3" t="str">
        <f t="shared" si="55"/>
        <v/>
      </c>
      <c r="W318" s="3"/>
      <c r="Y318" s="3" t="str">
        <f t="shared" si="56"/>
        <v/>
      </c>
      <c r="Z318" s="3"/>
      <c r="AB318" s="3" t="str">
        <f t="shared" si="57"/>
        <v/>
      </c>
      <c r="AC318" s="3"/>
      <c r="AE318" s="3">
        <f t="shared" si="58"/>
        <v>312</v>
      </c>
      <c r="AF318" s="3" t="str">
        <v>Staff: Akira Mano (Episode Director (ep 6))</v>
      </c>
      <c r="AH318" s="3">
        <f t="shared" si="49"/>
        <v>312</v>
      </c>
      <c r="AI318" s="3" t="str">
        <v>Staff Role: Animation Director (eps 2, 12)</v>
      </c>
    </row>
    <row r="319" spans="1:35" x14ac:dyDescent="0.3">
      <c r="A319" t="s">
        <v>288</v>
      </c>
      <c r="B319" s="5">
        <v>70</v>
      </c>
      <c r="C319" s="9">
        <v>3</v>
      </c>
      <c r="D319" s="6">
        <v>4.2164441321152499E-4</v>
      </c>
      <c r="E319" s="7">
        <v>2.9515108924806702E-2</v>
      </c>
      <c r="G319" s="3" t="str">
        <f t="shared" si="50"/>
        <v/>
      </c>
      <c r="H319" s="3"/>
      <c r="J319" s="3" t="str">
        <f t="shared" si="51"/>
        <v/>
      </c>
      <c r="K319" s="3"/>
      <c r="M319" s="3" t="str">
        <f t="shared" si="52"/>
        <v/>
      </c>
      <c r="N319" s="3"/>
      <c r="P319" s="3" t="str">
        <f t="shared" si="53"/>
        <v/>
      </c>
      <c r="Q319" s="3"/>
      <c r="S319" s="3" t="str">
        <f t="shared" si="54"/>
        <v/>
      </c>
      <c r="T319" s="3"/>
      <c r="V319" s="3" t="str">
        <f t="shared" si="55"/>
        <v/>
      </c>
      <c r="W319" s="3"/>
      <c r="Y319" s="3" t="str">
        <f t="shared" si="56"/>
        <v/>
      </c>
      <c r="Z319" s="3"/>
      <c r="AB319" s="3" t="str">
        <f t="shared" si="57"/>
        <v/>
      </c>
      <c r="AC319" s="3"/>
      <c r="AE319" s="3">
        <f t="shared" si="58"/>
        <v>313</v>
      </c>
      <c r="AF319" s="3" t="str">
        <v>Staff: Sumito Sasaki (Episode Director (ep 11))</v>
      </c>
      <c r="AH319" s="3">
        <f t="shared" si="49"/>
        <v>313</v>
      </c>
      <c r="AI319" s="3" t="str">
        <v>Staff Role: Assistant Animation Director (ep 10)</v>
      </c>
    </row>
    <row r="320" spans="1:35" x14ac:dyDescent="0.3">
      <c r="A320" t="s">
        <v>291</v>
      </c>
      <c r="B320" s="5">
        <v>70</v>
      </c>
      <c r="C320" s="9">
        <v>3</v>
      </c>
      <c r="D320" s="6">
        <v>4.2164441321152499E-4</v>
      </c>
      <c r="E320" s="7">
        <v>2.9515108924806702E-2</v>
      </c>
      <c r="G320" s="3" t="str">
        <f t="shared" si="50"/>
        <v/>
      </c>
      <c r="H320" s="3"/>
      <c r="J320" s="3" t="str">
        <f t="shared" si="51"/>
        <v/>
      </c>
      <c r="K320" s="3"/>
      <c r="M320" s="3" t="str">
        <f t="shared" si="52"/>
        <v/>
      </c>
      <c r="N320" s="3"/>
      <c r="P320" s="3" t="str">
        <f t="shared" si="53"/>
        <v/>
      </c>
      <c r="Q320" s="3"/>
      <c r="S320" s="3" t="str">
        <f t="shared" si="54"/>
        <v/>
      </c>
      <c r="T320" s="3"/>
      <c r="V320" s="3" t="str">
        <f t="shared" si="55"/>
        <v/>
      </c>
      <c r="W320" s="3"/>
      <c r="Y320" s="3" t="str">
        <f t="shared" si="56"/>
        <v/>
      </c>
      <c r="Z320" s="3"/>
      <c r="AB320" s="3" t="str">
        <f t="shared" si="57"/>
        <v/>
      </c>
      <c r="AC320" s="3"/>
      <c r="AE320" s="3">
        <f t="shared" si="58"/>
        <v>314</v>
      </c>
      <c r="AF320" s="3" t="str">
        <v>Staff: Ruri Miyahara (Original Creator)</v>
      </c>
      <c r="AH320" s="3">
        <f t="shared" si="49"/>
        <v>314</v>
      </c>
      <c r="AI320" s="3" t="str">
        <v>Staff Role: Script (eps 1-4, 6-8, 10-12)</v>
      </c>
    </row>
    <row r="321" spans="1:35" x14ac:dyDescent="0.3">
      <c r="A321" t="s">
        <v>489</v>
      </c>
      <c r="B321" s="5">
        <v>70</v>
      </c>
      <c r="C321" s="9">
        <v>3</v>
      </c>
      <c r="D321" s="6">
        <v>4.2164441321152499E-4</v>
      </c>
      <c r="E321" s="7">
        <v>2.9515108924806702E-2</v>
      </c>
      <c r="G321" s="3" t="str">
        <f t="shared" si="50"/>
        <v/>
      </c>
      <c r="H321" s="3"/>
      <c r="J321" s="3" t="str">
        <f t="shared" si="51"/>
        <v/>
      </c>
      <c r="K321" s="3"/>
      <c r="M321" s="3" t="str">
        <f t="shared" si="52"/>
        <v/>
      </c>
      <c r="N321" s="3"/>
      <c r="P321" s="3" t="str">
        <f t="shared" si="53"/>
        <v/>
      </c>
      <c r="Q321" s="3"/>
      <c r="S321" s="3" t="str">
        <f t="shared" si="54"/>
        <v/>
      </c>
      <c r="T321" s="3"/>
      <c r="V321" s="3" t="str">
        <f t="shared" si="55"/>
        <v/>
      </c>
      <c r="W321" s="3"/>
      <c r="Y321" s="3" t="str">
        <f t="shared" si="56"/>
        <v/>
      </c>
      <c r="Z321" s="3"/>
      <c r="AB321" s="3" t="str">
        <f t="shared" si="57"/>
        <v/>
      </c>
      <c r="AC321" s="3"/>
      <c r="AE321" s="3">
        <f t="shared" si="58"/>
        <v>315</v>
      </c>
      <c r="AF321" s="3" t="str">
        <v>Staff: Shigeyuki Miya (Director)</v>
      </c>
      <c r="AH321" s="3">
        <f t="shared" si="49"/>
        <v>315</v>
      </c>
      <c r="AI321" s="3" t="str">
        <v>Staff Role: Animation Director (OP, ED)</v>
      </c>
    </row>
    <row r="322" spans="1:35" x14ac:dyDescent="0.3">
      <c r="A322" t="s">
        <v>519</v>
      </c>
      <c r="B322" s="5">
        <v>70</v>
      </c>
      <c r="C322" s="9">
        <v>3</v>
      </c>
      <c r="D322" s="6">
        <v>4.2164441321152499E-4</v>
      </c>
      <c r="E322" s="7">
        <v>2.9515108924806702E-2</v>
      </c>
      <c r="G322" s="3" t="str">
        <f t="shared" si="50"/>
        <v/>
      </c>
      <c r="H322" s="3"/>
      <c r="J322" s="3" t="str">
        <f t="shared" si="51"/>
        <v/>
      </c>
      <c r="K322" s="3"/>
      <c r="M322" s="3" t="str">
        <f t="shared" si="52"/>
        <v/>
      </c>
      <c r="N322" s="3"/>
      <c r="P322" s="3" t="str">
        <f t="shared" si="53"/>
        <v/>
      </c>
      <c r="Q322" s="3"/>
      <c r="S322" s="3" t="str">
        <f t="shared" si="54"/>
        <v/>
      </c>
      <c r="T322" s="3"/>
      <c r="V322" s="3" t="str">
        <f t="shared" si="55"/>
        <v/>
      </c>
      <c r="W322" s="3"/>
      <c r="Y322" s="3" t="str">
        <f t="shared" si="56"/>
        <v/>
      </c>
      <c r="Z322" s="3"/>
      <c r="AB322" s="3" t="str">
        <f t="shared" si="57"/>
        <v/>
      </c>
      <c r="AC322" s="3"/>
      <c r="AE322" s="3">
        <f t="shared" si="58"/>
        <v>316</v>
      </c>
      <c r="AF322" s="3" t="str">
        <v>Staff: Akito Matsuda (Music)</v>
      </c>
      <c r="AH322" s="3">
        <f t="shared" si="49"/>
        <v>316</v>
      </c>
      <c r="AI322" s="3" t="str">
        <v>Staff Role: Animation Director (eps 1, 12)</v>
      </c>
    </row>
    <row r="323" spans="1:35" x14ac:dyDescent="0.3">
      <c r="A323" t="s">
        <v>623</v>
      </c>
      <c r="B323" s="5">
        <v>70</v>
      </c>
      <c r="C323" s="9">
        <v>3</v>
      </c>
      <c r="D323" s="6">
        <v>4.2164441321152499E-4</v>
      </c>
      <c r="E323" s="7">
        <v>2.9515108924806702E-2</v>
      </c>
      <c r="G323" s="3" t="str">
        <f t="shared" si="50"/>
        <v/>
      </c>
      <c r="H323" s="3"/>
      <c r="J323" s="3" t="str">
        <f t="shared" si="51"/>
        <v/>
      </c>
      <c r="K323" s="3"/>
      <c r="M323" s="3" t="str">
        <f t="shared" si="52"/>
        <v/>
      </c>
      <c r="N323" s="3"/>
      <c r="P323" s="3" t="str">
        <f t="shared" si="53"/>
        <v/>
      </c>
      <c r="Q323" s="3"/>
      <c r="S323" s="3" t="str">
        <f t="shared" si="54"/>
        <v/>
      </c>
      <c r="T323" s="3"/>
      <c r="V323" s="3" t="str">
        <f t="shared" si="55"/>
        <v/>
      </c>
      <c r="W323" s="3"/>
      <c r="Y323" s="3" t="str">
        <f t="shared" si="56"/>
        <v/>
      </c>
      <c r="Z323" s="3"/>
      <c r="AB323" s="3" t="str">
        <f t="shared" si="57"/>
        <v/>
      </c>
      <c r="AC323" s="3"/>
      <c r="AE323" s="3">
        <f t="shared" si="58"/>
        <v>317</v>
      </c>
      <c r="AF323" s="3" t="str">
        <v>Staff: fhána (Theme Song Performance (OP))</v>
      </c>
      <c r="AH323" s="3">
        <f t="shared" si="49"/>
        <v>317</v>
      </c>
      <c r="AI323" s="3" t="str">
        <v>Staff Role: Script (eps 3, 6, 9, 11)</v>
      </c>
    </row>
    <row r="324" spans="1:35" x14ac:dyDescent="0.3">
      <c r="A324" t="s">
        <v>633</v>
      </c>
      <c r="B324" s="5">
        <v>70</v>
      </c>
      <c r="C324" s="9">
        <v>3</v>
      </c>
      <c r="D324" s="6">
        <v>4.2164441321152499E-4</v>
      </c>
      <c r="E324" s="7">
        <v>2.9515108924806702E-2</v>
      </c>
      <c r="G324" s="3" t="str">
        <f t="shared" si="50"/>
        <v/>
      </c>
      <c r="H324" s="3"/>
      <c r="J324" s="3" t="str">
        <f t="shared" si="51"/>
        <v/>
      </c>
      <c r="K324" s="3"/>
      <c r="M324" s="3" t="str">
        <f t="shared" si="52"/>
        <v/>
      </c>
      <c r="N324" s="3"/>
      <c r="P324" s="3" t="str">
        <f t="shared" si="53"/>
        <v/>
      </c>
      <c r="Q324" s="3"/>
      <c r="S324" s="3" t="str">
        <f t="shared" si="54"/>
        <v/>
      </c>
      <c r="T324" s="3"/>
      <c r="V324" s="3" t="str">
        <f t="shared" si="55"/>
        <v/>
      </c>
      <c r="W324" s="3"/>
      <c r="Y324" s="3" t="str">
        <f t="shared" si="56"/>
        <v/>
      </c>
      <c r="Z324" s="3"/>
      <c r="AB324" s="3" t="str">
        <f t="shared" si="57"/>
        <v/>
      </c>
      <c r="AC324" s="3"/>
      <c r="AE324" s="3">
        <f t="shared" si="58"/>
        <v>318</v>
      </c>
      <c r="AF324" s="3" t="str">
        <v>Staff: Junichi Kitamura (Key Animation (ep 2, 4, 6))</v>
      </c>
      <c r="AH324" s="3">
        <f t="shared" si="49"/>
        <v>318</v>
      </c>
      <c r="AI324" s="3" t="str">
        <v>Staff Role: Script (eps 1, 5, 10)</v>
      </c>
    </row>
    <row r="325" spans="1:35" x14ac:dyDescent="0.3">
      <c r="A325" t="s">
        <v>767</v>
      </c>
      <c r="B325" s="5">
        <v>70</v>
      </c>
      <c r="C325" s="9">
        <v>3</v>
      </c>
      <c r="D325" s="6">
        <v>4.2164441321152499E-4</v>
      </c>
      <c r="E325" s="7">
        <v>2.9515108924806702E-2</v>
      </c>
      <c r="G325" s="3" t="str">
        <f t="shared" si="50"/>
        <v/>
      </c>
      <c r="H325" s="3"/>
      <c r="J325" s="3" t="str">
        <f t="shared" si="51"/>
        <v/>
      </c>
      <c r="K325" s="3"/>
      <c r="M325" s="3" t="str">
        <f t="shared" si="52"/>
        <v/>
      </c>
      <c r="N325" s="3"/>
      <c r="P325" s="3" t="str">
        <f t="shared" si="53"/>
        <v/>
      </c>
      <c r="Q325" s="3"/>
      <c r="S325" s="3" t="str">
        <f t="shared" si="54"/>
        <v/>
      </c>
      <c r="T325" s="3"/>
      <c r="V325" s="3" t="str">
        <f t="shared" si="55"/>
        <v/>
      </c>
      <c r="W325" s="3"/>
      <c r="Y325" s="3" t="str">
        <f t="shared" si="56"/>
        <v/>
      </c>
      <c r="Z325" s="3"/>
      <c r="AB325" s="3" t="str">
        <f t="shared" si="57"/>
        <v/>
      </c>
      <c r="AC325" s="3"/>
      <c r="AE325" s="3">
        <f t="shared" si="58"/>
        <v>319</v>
      </c>
      <c r="AF325" s="3" t="str">
        <v>Staff: Kenji Konuta (Series Composition)</v>
      </c>
      <c r="AH325" s="3">
        <f t="shared" si="49"/>
        <v>319</v>
      </c>
      <c r="AI325" s="3" t="str">
        <v>Staff Role: Script (eps 4, 7)</v>
      </c>
    </row>
    <row r="326" spans="1:35" x14ac:dyDescent="0.3">
      <c r="A326" t="s">
        <v>785</v>
      </c>
      <c r="B326" s="5">
        <v>70</v>
      </c>
      <c r="C326" s="9">
        <v>3</v>
      </c>
      <c r="D326" s="6">
        <v>4.2164441321152499E-4</v>
      </c>
      <c r="E326" s="7">
        <v>2.9515108924806702E-2</v>
      </c>
      <c r="G326" s="3" t="str">
        <f t="shared" si="50"/>
        <v/>
      </c>
      <c r="H326" s="3"/>
      <c r="J326" s="3" t="str">
        <f t="shared" si="51"/>
        <v/>
      </c>
      <c r="K326" s="3"/>
      <c r="M326" s="3" t="str">
        <f t="shared" si="52"/>
        <v/>
      </c>
      <c r="N326" s="3"/>
      <c r="P326" s="3" t="str">
        <f t="shared" si="53"/>
        <v/>
      </c>
      <c r="Q326" s="3"/>
      <c r="S326" s="3" t="str">
        <f t="shared" si="54"/>
        <v/>
      </c>
      <c r="T326" s="3"/>
      <c r="V326" s="3" t="str">
        <f t="shared" si="55"/>
        <v/>
      </c>
      <c r="W326" s="3"/>
      <c r="Y326" s="3" t="str">
        <f t="shared" si="56"/>
        <v/>
      </c>
      <c r="Z326" s="3"/>
      <c r="AB326" s="3" t="str">
        <f t="shared" si="57"/>
        <v/>
      </c>
      <c r="AC326" s="3"/>
      <c r="AE326" s="3">
        <f t="shared" si="58"/>
        <v>320</v>
      </c>
      <c r="AF326" s="3" t="str">
        <v>Staff: Kenji Konuta (Script)</v>
      </c>
      <c r="AH326" s="3">
        <f t="shared" si="49"/>
        <v>320</v>
      </c>
      <c r="AI326" s="3" t="str">
        <v>Staff Role: Script (eps 2, 8)</v>
      </c>
    </row>
    <row r="327" spans="1:35" x14ac:dyDescent="0.3">
      <c r="A327" t="s">
        <v>839</v>
      </c>
      <c r="B327" s="5">
        <v>70</v>
      </c>
      <c r="C327" s="9">
        <v>3</v>
      </c>
      <c r="D327" s="6">
        <v>4.2164441321152499E-4</v>
      </c>
      <c r="E327" s="7">
        <v>2.9515108924806702E-2</v>
      </c>
      <c r="G327" s="3" t="str">
        <f t="shared" si="50"/>
        <v/>
      </c>
      <c r="H327" s="3"/>
      <c r="J327" s="3" t="str">
        <f t="shared" si="51"/>
        <v/>
      </c>
      <c r="K327" s="3"/>
      <c r="M327" s="3" t="str">
        <f t="shared" si="52"/>
        <v/>
      </c>
      <c r="N327" s="3"/>
      <c r="P327" s="3" t="str">
        <f t="shared" si="53"/>
        <v/>
      </c>
      <c r="Q327" s="3"/>
      <c r="S327" s="3" t="str">
        <f t="shared" si="54"/>
        <v/>
      </c>
      <c r="T327" s="3"/>
      <c r="V327" s="3" t="str">
        <f t="shared" si="55"/>
        <v/>
      </c>
      <c r="W327" s="3"/>
      <c r="Y327" s="3" t="str">
        <f t="shared" si="56"/>
        <v/>
      </c>
      <c r="Z327" s="3"/>
      <c r="AB327" s="3" t="str">
        <f t="shared" si="57"/>
        <v/>
      </c>
      <c r="AC327" s="3"/>
      <c r="AE327" s="3">
        <f t="shared" si="58"/>
        <v>321</v>
      </c>
      <c r="AF327" s="3" t="str">
        <v>Staff: Shouko Yasuda (Key Animation (ep 5))</v>
      </c>
      <c r="AH327" s="3">
        <f t="shared" si="49"/>
        <v>321</v>
      </c>
      <c r="AI327" s="3" t="str">
        <v>Staff Role: Storyboard (eps 1, 2)</v>
      </c>
    </row>
    <row r="328" spans="1:35" x14ac:dyDescent="0.3">
      <c r="A328" t="s">
        <v>865</v>
      </c>
      <c r="B328" s="5">
        <v>70</v>
      </c>
      <c r="C328" s="9">
        <v>3</v>
      </c>
      <c r="D328" s="6">
        <v>4.2164441321152499E-4</v>
      </c>
      <c r="E328" s="7">
        <v>2.9515108924806702E-2</v>
      </c>
      <c r="G328" s="3" t="str">
        <f t="shared" si="50"/>
        <v/>
      </c>
      <c r="H328" s="3"/>
      <c r="J328" s="3" t="str">
        <f t="shared" si="51"/>
        <v/>
      </c>
      <c r="K328" s="3"/>
      <c r="M328" s="3" t="str">
        <f t="shared" si="52"/>
        <v/>
      </c>
      <c r="N328" s="3"/>
      <c r="P328" s="3" t="str">
        <f t="shared" si="53"/>
        <v/>
      </c>
      <c r="Q328" s="3"/>
      <c r="S328" s="3" t="str">
        <f t="shared" si="54"/>
        <v/>
      </c>
      <c r="T328" s="3"/>
      <c r="V328" s="3" t="str">
        <f t="shared" si="55"/>
        <v/>
      </c>
      <c r="W328" s="3"/>
      <c r="Y328" s="3" t="str">
        <f t="shared" si="56"/>
        <v/>
      </c>
      <c r="Z328" s="3"/>
      <c r="AB328" s="3" t="str">
        <f t="shared" si="57"/>
        <v/>
      </c>
      <c r="AC328" s="3"/>
      <c r="AE328" s="3">
        <f t="shared" si="58"/>
        <v>322</v>
      </c>
      <c r="AF328" s="3" t="str">
        <v>Staff: Mitsutoshi Satou (Episode Director (ep 8))</v>
      </c>
      <c r="AH328" s="3">
        <f t="shared" ref="AH328:AH391" si="59">IF(NOT(ISBLANK(AI328)),IF(NOT(ISNUMBER(AH327)),1,AH327+1),"")</f>
        <v>322</v>
      </c>
      <c r="AI328" s="3" t="str">
        <v>Staff Role: Episode Director (eps 1, 11)</v>
      </c>
    </row>
    <row r="329" spans="1:35" x14ac:dyDescent="0.3">
      <c r="A329" t="s">
        <v>881</v>
      </c>
      <c r="B329" s="5">
        <v>70</v>
      </c>
      <c r="C329" s="9">
        <v>3</v>
      </c>
      <c r="D329" s="6">
        <v>4.2164441321152499E-4</v>
      </c>
      <c r="E329" s="7">
        <v>2.9515108924806702E-2</v>
      </c>
      <c r="G329" s="3" t="str">
        <f t="shared" si="50"/>
        <v/>
      </c>
      <c r="H329" s="3"/>
      <c r="J329" s="3" t="str">
        <f t="shared" si="51"/>
        <v/>
      </c>
      <c r="K329" s="3"/>
      <c r="M329" s="3" t="str">
        <f t="shared" si="52"/>
        <v/>
      </c>
      <c r="N329" s="3"/>
      <c r="P329" s="3" t="str">
        <f t="shared" si="53"/>
        <v/>
      </c>
      <c r="Q329" s="3"/>
      <c r="S329" s="3" t="str">
        <f t="shared" si="54"/>
        <v/>
      </c>
      <c r="T329" s="3"/>
      <c r="V329" s="3" t="str">
        <f t="shared" si="55"/>
        <v/>
      </c>
      <c r="W329" s="3"/>
      <c r="Y329" s="3" t="str">
        <f t="shared" si="56"/>
        <v/>
      </c>
      <c r="Z329" s="3"/>
      <c r="AB329" s="3" t="str">
        <f t="shared" si="57"/>
        <v/>
      </c>
      <c r="AC329" s="3"/>
      <c r="AE329" s="3">
        <f t="shared" si="58"/>
        <v>323</v>
      </c>
      <c r="AF329" s="3" t="str">
        <v>Staff: Shinichi Kurita (Character Design)</v>
      </c>
      <c r="AH329" s="3">
        <f t="shared" si="59"/>
        <v>323</v>
      </c>
      <c r="AI329" s="3" t="str">
        <v>Staff Role: Storyboard (eps 4, 8)</v>
      </c>
    </row>
    <row r="330" spans="1:35" x14ac:dyDescent="0.3">
      <c r="A330" t="s">
        <v>966</v>
      </c>
      <c r="B330" s="5">
        <v>70</v>
      </c>
      <c r="C330" s="9">
        <v>3</v>
      </c>
      <c r="D330" s="6">
        <v>4.2164441321152499E-4</v>
      </c>
      <c r="E330" s="7">
        <v>2.9515108924806702E-2</v>
      </c>
      <c r="G330" s="3" t="str">
        <f t="shared" si="50"/>
        <v/>
      </c>
      <c r="H330" s="3"/>
      <c r="J330" s="3" t="str">
        <f t="shared" si="51"/>
        <v/>
      </c>
      <c r="K330" s="3"/>
      <c r="M330" s="3" t="str">
        <f t="shared" si="52"/>
        <v/>
      </c>
      <c r="N330" s="3"/>
      <c r="P330" s="3" t="str">
        <f t="shared" si="53"/>
        <v/>
      </c>
      <c r="Q330" s="3"/>
      <c r="S330" s="3" t="str">
        <f t="shared" si="54"/>
        <v/>
      </c>
      <c r="T330" s="3"/>
      <c r="V330" s="3" t="str">
        <f t="shared" si="55"/>
        <v/>
      </c>
      <c r="W330" s="3"/>
      <c r="Y330" s="3" t="str">
        <f t="shared" si="56"/>
        <v/>
      </c>
      <c r="Z330" s="3"/>
      <c r="AB330" s="3" t="str">
        <f t="shared" si="57"/>
        <v/>
      </c>
      <c r="AC330" s="3"/>
      <c r="AE330" s="3">
        <f t="shared" si="58"/>
        <v>324</v>
      </c>
      <c r="AF330" s="3" t="str">
        <v>Staff: Hisako Kanemoto (Theme Song Performance (ED))</v>
      </c>
      <c r="AH330" s="3">
        <f t="shared" si="59"/>
        <v>324</v>
      </c>
      <c r="AI330" s="3" t="str">
        <v>Staff Role: Storyboard (eps 3, 7, 9, 11)</v>
      </c>
    </row>
    <row r="331" spans="1:35" x14ac:dyDescent="0.3">
      <c r="A331" t="str">
        <f>HYPERLINK("https://anilist.co/staff/103838","Staff: Masahiko Oota (Director)")</f>
        <v>Staff: Masahiko Oota (Director)</v>
      </c>
      <c r="B331" s="5">
        <v>70</v>
      </c>
      <c r="C331" s="9">
        <v>3</v>
      </c>
      <c r="D331" s="6">
        <v>4.2164441321152499E-4</v>
      </c>
      <c r="E331" s="7">
        <v>2.9515108924806702E-2</v>
      </c>
      <c r="G331" s="3" t="str">
        <f t="shared" si="50"/>
        <v/>
      </c>
      <c r="H331" s="3"/>
      <c r="J331" s="3" t="str">
        <f t="shared" si="51"/>
        <v/>
      </c>
      <c r="K331" s="3"/>
      <c r="M331" s="3" t="str">
        <f t="shared" si="52"/>
        <v/>
      </c>
      <c r="N331" s="3"/>
      <c r="P331" s="3" t="str">
        <f t="shared" si="53"/>
        <v/>
      </c>
      <c r="Q331" s="3"/>
      <c r="S331" s="3" t="str">
        <f t="shared" si="54"/>
        <v/>
      </c>
      <c r="T331" s="3"/>
      <c r="V331" s="3" t="str">
        <f t="shared" si="55"/>
        <v/>
      </c>
      <c r="W331" s="3"/>
      <c r="Y331" s="3" t="str">
        <f t="shared" si="56"/>
        <v/>
      </c>
      <c r="Z331" s="3"/>
      <c r="AB331" s="3" t="str">
        <f t="shared" si="57"/>
        <v/>
      </c>
      <c r="AC331" s="3"/>
      <c r="AE331" s="3">
        <f t="shared" si="58"/>
        <v>325</v>
      </c>
      <c r="AF331" s="3" t="str">
        <v>Staff: Rina Satou (Theme Song Performance (ED))</v>
      </c>
      <c r="AH331" s="3">
        <f t="shared" si="59"/>
        <v>325</v>
      </c>
      <c r="AI331" s="3" t="str">
        <v>Staff Role: Animation Director (eps 3, 8)</v>
      </c>
    </row>
    <row r="332" spans="1:35" x14ac:dyDescent="0.3">
      <c r="A332" t="str">
        <f>HYPERLINK("https://anilist.co/staff/121350","Staff: Gin  (Music)")</f>
        <v>Staff: Gin  (Music)</v>
      </c>
      <c r="B332" s="5">
        <v>66.6666666666666</v>
      </c>
      <c r="C332" s="9">
        <v>3</v>
      </c>
      <c r="D332" s="6">
        <v>4.2164441321152499E-4</v>
      </c>
      <c r="E332" s="7">
        <v>2.8109627547435002E-2</v>
      </c>
      <c r="G332" s="3" t="str">
        <f t="shared" si="50"/>
        <v/>
      </c>
      <c r="H332" s="3"/>
      <c r="J332" s="3" t="str">
        <f t="shared" si="51"/>
        <v/>
      </c>
      <c r="K332" s="3"/>
      <c r="M332" s="3" t="str">
        <f t="shared" si="52"/>
        <v/>
      </c>
      <c r="N332" s="3"/>
      <c r="P332" s="3" t="str">
        <f t="shared" si="53"/>
        <v/>
      </c>
      <c r="Q332" s="3"/>
      <c r="S332" s="3" t="str">
        <f t="shared" si="54"/>
        <v/>
      </c>
      <c r="T332" s="3"/>
      <c r="V332" s="3" t="str">
        <f t="shared" si="55"/>
        <v/>
      </c>
      <c r="W332" s="3"/>
      <c r="Y332" s="3" t="str">
        <f t="shared" si="56"/>
        <v/>
      </c>
      <c r="Z332" s="3"/>
      <c r="AB332" s="3" t="str">
        <f t="shared" si="57"/>
        <v/>
      </c>
      <c r="AC332" s="3"/>
      <c r="AE332" s="3">
        <f t="shared" si="58"/>
        <v>326</v>
      </c>
      <c r="AF332" s="3" t="str">
        <v>Staff: Kana Hanazawa (Theme Song Performance (ED))</v>
      </c>
      <c r="AH332" s="3">
        <f t="shared" si="59"/>
        <v>326</v>
      </c>
      <c r="AI332" s="3" t="str">
        <v>Staff Role: Animation Director (eps 1, 2)</v>
      </c>
    </row>
    <row r="333" spans="1:35" x14ac:dyDescent="0.3">
      <c r="A333" t="str">
        <f>HYPERLINK("https://anilist.co/staff/96967","Staff: Hideyuki Kurata (Series Composition)")</f>
        <v>Staff: Hideyuki Kurata (Series Composition)</v>
      </c>
      <c r="B333" s="5">
        <v>66.6666666666666</v>
      </c>
      <c r="C333" s="9">
        <v>3</v>
      </c>
      <c r="D333" s="6">
        <v>4.2164441321152499E-4</v>
      </c>
      <c r="E333" s="7">
        <v>2.8109627547435002E-2</v>
      </c>
      <c r="G333" s="3" t="str">
        <f t="shared" si="50"/>
        <v/>
      </c>
      <c r="H333" s="3"/>
      <c r="J333" s="3" t="str">
        <f t="shared" si="51"/>
        <v/>
      </c>
      <c r="K333" s="3"/>
      <c r="M333" s="3" t="str">
        <f t="shared" si="52"/>
        <v/>
      </c>
      <c r="N333" s="3"/>
      <c r="P333" s="3" t="str">
        <f t="shared" si="53"/>
        <v/>
      </c>
      <c r="Q333" s="3"/>
      <c r="S333" s="3" t="str">
        <f t="shared" si="54"/>
        <v/>
      </c>
      <c r="T333" s="3"/>
      <c r="V333" s="3" t="str">
        <f t="shared" si="55"/>
        <v/>
      </c>
      <c r="W333" s="3"/>
      <c r="Y333" s="3" t="str">
        <f t="shared" si="56"/>
        <v/>
      </c>
      <c r="Z333" s="3"/>
      <c r="AB333" s="3" t="str">
        <f t="shared" si="57"/>
        <v/>
      </c>
      <c r="AC333" s="3"/>
      <c r="AE333" s="3">
        <f t="shared" si="58"/>
        <v>327</v>
      </c>
      <c r="AF333" s="3" t="str">
        <v>Staff: Jun Maeda (Original Story)</v>
      </c>
      <c r="AH333" s="3">
        <f t="shared" si="59"/>
        <v>327</v>
      </c>
      <c r="AI333" s="3" t="str">
        <v>Staff Role: Animation Director (eps 5, 6, 9, 10)</v>
      </c>
    </row>
    <row r="334" spans="1:35" x14ac:dyDescent="0.3">
      <c r="A334" t="s">
        <v>189</v>
      </c>
      <c r="B334" s="5">
        <v>100</v>
      </c>
      <c r="C334" s="9">
        <v>2</v>
      </c>
      <c r="D334" s="6">
        <v>2.8109627547434998E-4</v>
      </c>
      <c r="E334" s="7">
        <v>2.8109627547434901E-2</v>
      </c>
      <c r="G334" s="3" t="str">
        <f t="shared" si="50"/>
        <v/>
      </c>
      <c r="H334" s="3"/>
      <c r="J334" s="3" t="str">
        <f t="shared" si="51"/>
        <v/>
      </c>
      <c r="K334" s="3"/>
      <c r="M334" s="3" t="str">
        <f t="shared" si="52"/>
        <v/>
      </c>
      <c r="N334" s="3"/>
      <c r="P334" s="3" t="str">
        <f t="shared" si="53"/>
        <v/>
      </c>
      <c r="Q334" s="3"/>
      <c r="S334" s="3" t="str">
        <f t="shared" si="54"/>
        <v/>
      </c>
      <c r="T334" s="3"/>
      <c r="V334" s="3" t="str">
        <f t="shared" si="55"/>
        <v/>
      </c>
      <c r="W334" s="3"/>
      <c r="Y334" s="3" t="str">
        <f t="shared" si="56"/>
        <v/>
      </c>
      <c r="Z334" s="3"/>
      <c r="AB334" s="3" t="str">
        <f t="shared" si="57"/>
        <v/>
      </c>
      <c r="AC334" s="3"/>
      <c r="AE334" s="3">
        <f t="shared" si="58"/>
        <v>328</v>
      </c>
      <c r="AF334" s="3" t="str">
        <v>Staff: Kai  (Original Story)</v>
      </c>
      <c r="AH334" s="3">
        <f t="shared" si="59"/>
        <v>328</v>
      </c>
      <c r="AI334" s="3" t="str">
        <v>Staff Role: Animation Director (eps 1, 6, 8-11)</v>
      </c>
    </row>
    <row r="335" spans="1:35" x14ac:dyDescent="0.3">
      <c r="A335" t="s">
        <v>9</v>
      </c>
      <c r="B335" s="5">
        <v>95</v>
      </c>
      <c r="C335" s="9">
        <v>2</v>
      </c>
      <c r="D335" s="6">
        <v>2.8109627547434998E-4</v>
      </c>
      <c r="E335" s="7">
        <v>2.6704146170063201E-2</v>
      </c>
      <c r="G335" s="3" t="str">
        <f t="shared" si="50"/>
        <v/>
      </c>
      <c r="H335" s="3"/>
      <c r="J335" s="3" t="str">
        <f t="shared" si="51"/>
        <v/>
      </c>
      <c r="K335" s="3"/>
      <c r="M335" s="3" t="str">
        <f t="shared" si="52"/>
        <v/>
      </c>
      <c r="N335" s="3"/>
      <c r="P335" s="3" t="str">
        <f t="shared" si="53"/>
        <v/>
      </c>
      <c r="Q335" s="3"/>
      <c r="S335" s="3" t="str">
        <f t="shared" si="54"/>
        <v/>
      </c>
      <c r="T335" s="3"/>
      <c r="V335" s="3" t="str">
        <f t="shared" si="55"/>
        <v/>
      </c>
      <c r="W335" s="3"/>
      <c r="Y335" s="3" t="str">
        <f t="shared" si="56"/>
        <v/>
      </c>
      <c r="Z335" s="3"/>
      <c r="AB335" s="3" t="str">
        <f t="shared" si="57"/>
        <v/>
      </c>
      <c r="AC335" s="3"/>
      <c r="AE335" s="3">
        <f t="shared" si="58"/>
        <v>329</v>
      </c>
      <c r="AF335" s="3" t="str">
        <v>Staff: Itaru Hinoue (Original Character Design)</v>
      </c>
      <c r="AH335" s="3">
        <f t="shared" si="59"/>
        <v>329</v>
      </c>
      <c r="AI335" s="3" t="str">
        <v>Staff Role: Animation Director (ep 3)</v>
      </c>
    </row>
    <row r="336" spans="1:35" x14ac:dyDescent="0.3">
      <c r="A336" t="s">
        <v>656</v>
      </c>
      <c r="B336" s="5">
        <v>95</v>
      </c>
      <c r="C336" s="9">
        <v>2</v>
      </c>
      <c r="D336" s="6">
        <v>2.8109627547434998E-4</v>
      </c>
      <c r="E336" s="7">
        <v>2.6704146170063201E-2</v>
      </c>
      <c r="G336" s="3" t="str">
        <f t="shared" si="50"/>
        <v/>
      </c>
      <c r="H336" s="3"/>
      <c r="J336" s="3" t="str">
        <f t="shared" si="51"/>
        <v/>
      </c>
      <c r="K336" s="3"/>
      <c r="M336" s="3" t="str">
        <f t="shared" si="52"/>
        <v/>
      </c>
      <c r="N336" s="3"/>
      <c r="P336" s="3" t="str">
        <f t="shared" si="53"/>
        <v/>
      </c>
      <c r="Q336" s="3"/>
      <c r="S336" s="3" t="str">
        <f t="shared" si="54"/>
        <v/>
      </c>
      <c r="T336" s="3"/>
      <c r="V336" s="3" t="str">
        <f t="shared" si="55"/>
        <v/>
      </c>
      <c r="W336" s="3"/>
      <c r="Y336" s="3" t="str">
        <f t="shared" si="56"/>
        <v/>
      </c>
      <c r="Z336" s="3"/>
      <c r="AB336" s="3" t="str">
        <f t="shared" si="57"/>
        <v/>
      </c>
      <c r="AC336" s="3"/>
      <c r="AE336" s="3">
        <f t="shared" si="58"/>
        <v>330</v>
      </c>
      <c r="AF336" s="3" t="str">
        <v>Staff: Tatsuya Ishihara (Director)</v>
      </c>
      <c r="AH336" s="3">
        <f t="shared" si="59"/>
        <v>330</v>
      </c>
      <c r="AI336" s="3" t="str">
        <v>Staff Role: Storyboard (eps 1, 2, 4, 8, 9, 12)</v>
      </c>
    </row>
    <row r="337" spans="1:35" x14ac:dyDescent="0.3">
      <c r="A337" t="s">
        <v>670</v>
      </c>
      <c r="B337" s="5">
        <v>60</v>
      </c>
      <c r="C337" s="9">
        <v>3</v>
      </c>
      <c r="D337" s="6">
        <v>4.2164441321152499E-4</v>
      </c>
      <c r="E337" s="7">
        <v>2.5298664792691501E-2</v>
      </c>
      <c r="G337" s="3" t="str">
        <f t="shared" si="50"/>
        <v/>
      </c>
      <c r="H337" s="3"/>
      <c r="J337" s="3" t="str">
        <f t="shared" si="51"/>
        <v/>
      </c>
      <c r="K337" s="3"/>
      <c r="M337" s="3" t="str">
        <f t="shared" si="52"/>
        <v/>
      </c>
      <c r="N337" s="3"/>
      <c r="P337" s="3" t="str">
        <f t="shared" si="53"/>
        <v/>
      </c>
      <c r="Q337" s="3"/>
      <c r="S337" s="3" t="str">
        <f t="shared" si="54"/>
        <v/>
      </c>
      <c r="T337" s="3"/>
      <c r="V337" s="3" t="str">
        <f t="shared" si="55"/>
        <v/>
      </c>
      <c r="W337" s="3"/>
      <c r="Y337" s="3" t="str">
        <f t="shared" si="56"/>
        <v/>
      </c>
      <c r="Z337" s="3"/>
      <c r="AB337" s="3" t="str">
        <f t="shared" si="57"/>
        <v/>
      </c>
      <c r="AC337" s="3"/>
      <c r="AE337" s="3">
        <f t="shared" si="58"/>
        <v>331</v>
      </c>
      <c r="AF337" s="3" t="str">
        <v>Staff: Fumihiko Shimo (Script)</v>
      </c>
      <c r="AH337" s="3">
        <f t="shared" si="59"/>
        <v>331</v>
      </c>
      <c r="AI337" s="3" t="str">
        <v>Staff Role: Storyboard (eps 7, 10)</v>
      </c>
    </row>
    <row r="338" spans="1:35" x14ac:dyDescent="0.3">
      <c r="A338" t="s">
        <v>174</v>
      </c>
      <c r="B338" s="5">
        <v>90</v>
      </c>
      <c r="C338" s="9">
        <v>2</v>
      </c>
      <c r="D338" s="6">
        <v>2.8109627547434998E-4</v>
      </c>
      <c r="E338" s="7">
        <v>2.5298664792691401E-2</v>
      </c>
      <c r="G338" s="3" t="str">
        <f t="shared" si="50"/>
        <v/>
      </c>
      <c r="H338" s="3"/>
      <c r="J338" s="3" t="str">
        <f t="shared" si="51"/>
        <v/>
      </c>
      <c r="K338" s="3"/>
      <c r="M338" s="3" t="str">
        <f t="shared" si="52"/>
        <v/>
      </c>
      <c r="N338" s="3"/>
      <c r="P338" s="3" t="str">
        <f t="shared" si="53"/>
        <v/>
      </c>
      <c r="Q338" s="3"/>
      <c r="S338" s="3" t="str">
        <f t="shared" si="54"/>
        <v/>
      </c>
      <c r="T338" s="3"/>
      <c r="V338" s="3" t="str">
        <f t="shared" si="55"/>
        <v/>
      </c>
      <c r="W338" s="3"/>
      <c r="Y338" s="3" t="str">
        <f t="shared" si="56"/>
        <v/>
      </c>
      <c r="Z338" s="3"/>
      <c r="AB338" s="3" t="str">
        <f t="shared" si="57"/>
        <v/>
      </c>
      <c r="AC338" s="3"/>
      <c r="AE338" s="3">
        <f t="shared" si="58"/>
        <v>332</v>
      </c>
      <c r="AF338" s="3" t="str">
        <v>Staff: Magome Togoshi (Music)</v>
      </c>
      <c r="AH338" s="3">
        <f t="shared" si="59"/>
        <v>332</v>
      </c>
      <c r="AI338" s="3" t="str">
        <v>Staff Role: Storyboard (eps 6, 8)</v>
      </c>
    </row>
    <row r="339" spans="1:35" x14ac:dyDescent="0.3">
      <c r="A339" t="s">
        <v>179</v>
      </c>
      <c r="B339" s="5">
        <v>90</v>
      </c>
      <c r="C339" s="9">
        <v>2</v>
      </c>
      <c r="D339" s="6">
        <v>2.8109627547434998E-4</v>
      </c>
      <c r="E339" s="7">
        <v>2.5298664792691401E-2</v>
      </c>
      <c r="G339" s="3" t="str">
        <f t="shared" si="50"/>
        <v/>
      </c>
      <c r="H339" s="3"/>
      <c r="J339" s="3" t="str">
        <f t="shared" si="51"/>
        <v/>
      </c>
      <c r="K339" s="3"/>
      <c r="M339" s="3" t="str">
        <f t="shared" si="52"/>
        <v/>
      </c>
      <c r="N339" s="3"/>
      <c r="P339" s="3" t="str">
        <f t="shared" si="53"/>
        <v/>
      </c>
      <c r="Q339" s="3"/>
      <c r="S339" s="3" t="str">
        <f t="shared" si="54"/>
        <v/>
      </c>
      <c r="T339" s="3"/>
      <c r="V339" s="3" t="str">
        <f t="shared" si="55"/>
        <v/>
      </c>
      <c r="W339" s="3"/>
      <c r="Y339" s="3" t="str">
        <f t="shared" si="56"/>
        <v/>
      </c>
      <c r="Z339" s="3"/>
      <c r="AB339" s="3" t="str">
        <f t="shared" si="57"/>
        <v/>
      </c>
      <c r="AC339" s="3"/>
      <c r="AE339" s="3">
        <f t="shared" si="58"/>
        <v>333</v>
      </c>
      <c r="AF339" s="3" t="str">
        <v>Staff: Shinji Orito (Music)</v>
      </c>
      <c r="AH339" s="3">
        <f t="shared" si="59"/>
        <v>333</v>
      </c>
      <c r="AI339" s="3" t="str">
        <v>Staff Role: Episode Director (eps 1, 4, 6, 12)</v>
      </c>
    </row>
    <row r="340" spans="1:35" x14ac:dyDescent="0.3">
      <c r="A340" t="s">
        <v>317</v>
      </c>
      <c r="B340" s="5">
        <v>90</v>
      </c>
      <c r="C340" s="9">
        <v>2</v>
      </c>
      <c r="D340" s="6">
        <v>2.8109627547434998E-4</v>
      </c>
      <c r="E340" s="7">
        <v>2.5298664792691401E-2</v>
      </c>
      <c r="G340" s="3" t="str">
        <f t="shared" si="50"/>
        <v/>
      </c>
      <c r="H340" s="3"/>
      <c r="J340" s="3" t="str">
        <f t="shared" si="51"/>
        <v/>
      </c>
      <c r="K340" s="3"/>
      <c r="M340" s="3" t="str">
        <f t="shared" si="52"/>
        <v/>
      </c>
      <c r="N340" s="3"/>
      <c r="P340" s="3" t="str">
        <f t="shared" si="53"/>
        <v/>
      </c>
      <c r="Q340" s="3"/>
      <c r="S340" s="3" t="str">
        <f t="shared" si="54"/>
        <v/>
      </c>
      <c r="T340" s="3"/>
      <c r="V340" s="3" t="str">
        <f t="shared" si="55"/>
        <v/>
      </c>
      <c r="W340" s="3"/>
      <c r="Y340" s="3" t="str">
        <f t="shared" si="56"/>
        <v/>
      </c>
      <c r="Z340" s="3"/>
      <c r="AB340" s="3" t="str">
        <f t="shared" si="57"/>
        <v/>
      </c>
      <c r="AC340" s="3"/>
      <c r="AE340" s="3">
        <f t="shared" si="58"/>
        <v>334</v>
      </c>
      <c r="AF340" s="3" t="str">
        <v>Staff: ANANT-GARDE EYES  (Theme Song Arrangement (OP))</v>
      </c>
      <c r="AH340" s="3">
        <f t="shared" si="59"/>
        <v>334</v>
      </c>
      <c r="AI340" s="3" t="str">
        <v>Staff Role: Chief Animation Director (eps 1, 2, 9, 10, 12)</v>
      </c>
    </row>
    <row r="341" spans="1:35" x14ac:dyDescent="0.3">
      <c r="A341" t="s">
        <v>321</v>
      </c>
      <c r="B341" s="5">
        <v>90</v>
      </c>
      <c r="C341" s="9">
        <v>2</v>
      </c>
      <c r="D341" s="6">
        <v>2.8109627547434998E-4</v>
      </c>
      <c r="E341" s="7">
        <v>2.5298664792691401E-2</v>
      </c>
      <c r="G341" s="3" t="str">
        <f t="shared" si="50"/>
        <v/>
      </c>
      <c r="H341" s="3"/>
      <c r="J341" s="3" t="str">
        <f t="shared" si="51"/>
        <v/>
      </c>
      <c r="K341" s="3"/>
      <c r="M341" s="3" t="str">
        <f t="shared" si="52"/>
        <v/>
      </c>
      <c r="N341" s="3"/>
      <c r="P341" s="3" t="str">
        <f t="shared" si="53"/>
        <v/>
      </c>
      <c r="Q341" s="3"/>
      <c r="S341" s="3" t="str">
        <f t="shared" si="54"/>
        <v/>
      </c>
      <c r="T341" s="3"/>
      <c r="V341" s="3" t="str">
        <f t="shared" si="55"/>
        <v/>
      </c>
      <c r="W341" s="3"/>
      <c r="Y341" s="3" t="str">
        <f t="shared" si="56"/>
        <v/>
      </c>
      <c r="Z341" s="3"/>
      <c r="AB341" s="3" t="str">
        <f t="shared" si="57"/>
        <v/>
      </c>
      <c r="AC341" s="3"/>
      <c r="AE341" s="3">
        <f t="shared" si="58"/>
        <v>335</v>
      </c>
      <c r="AF341" s="3" t="str">
        <v>Staff: Kazumi Ikeda (Character Design)</v>
      </c>
      <c r="AH341" s="3">
        <f t="shared" si="59"/>
        <v>335</v>
      </c>
      <c r="AI341" s="3" t="str">
        <v>Staff Role: Chief Animation Director (ep 9, 12)</v>
      </c>
    </row>
    <row r="342" spans="1:35" x14ac:dyDescent="0.3">
      <c r="A342" t="s">
        <v>665</v>
      </c>
      <c r="B342" s="5">
        <v>90</v>
      </c>
      <c r="C342" s="9">
        <v>2</v>
      </c>
      <c r="D342" s="6">
        <v>2.8109627547434998E-4</v>
      </c>
      <c r="E342" s="7">
        <v>2.5298664792691401E-2</v>
      </c>
      <c r="G342" s="3" t="str">
        <f t="shared" si="50"/>
        <v/>
      </c>
      <c r="H342" s="3"/>
      <c r="J342" s="3" t="str">
        <f t="shared" si="51"/>
        <v/>
      </c>
      <c r="K342" s="3"/>
      <c r="M342" s="3" t="str">
        <f t="shared" si="52"/>
        <v/>
      </c>
      <c r="N342" s="3"/>
      <c r="P342" s="3" t="str">
        <f t="shared" si="53"/>
        <v/>
      </c>
      <c r="Q342" s="3"/>
      <c r="S342" s="3" t="str">
        <f t="shared" si="54"/>
        <v/>
      </c>
      <c r="T342" s="3"/>
      <c r="V342" s="3" t="str">
        <f t="shared" si="55"/>
        <v/>
      </c>
      <c r="W342" s="3"/>
      <c r="Y342" s="3" t="str">
        <f t="shared" si="56"/>
        <v/>
      </c>
      <c r="Z342" s="3"/>
      <c r="AB342" s="3" t="str">
        <f t="shared" si="57"/>
        <v/>
      </c>
      <c r="AC342" s="3"/>
      <c r="AE342" s="3">
        <f t="shared" si="58"/>
        <v>336</v>
      </c>
      <c r="AF342" s="3" t="str">
        <v>Staff: Lia  (Theme Song Performance (OP, ED))</v>
      </c>
      <c r="AH342" s="3">
        <f t="shared" si="59"/>
        <v>336</v>
      </c>
      <c r="AI342" s="3" t="str">
        <v>Staff Role: 2D Works (ep 8)</v>
      </c>
    </row>
    <row r="343" spans="1:35" x14ac:dyDescent="0.3">
      <c r="A343" t="str">
        <f>HYPERLINK("https://anilist.co/staff/95203","Staff: Justin Cook (Producer (English))")</f>
        <v>Staff: Justin Cook (Producer (English))</v>
      </c>
      <c r="B343" s="5">
        <v>90</v>
      </c>
      <c r="C343" s="9">
        <v>2</v>
      </c>
      <c r="D343" s="6">
        <v>2.8109627547434998E-4</v>
      </c>
      <c r="E343" s="7">
        <v>2.5298664792691401E-2</v>
      </c>
      <c r="G343" s="3" t="str">
        <f t="shared" ref="G343:G406" si="60">IF(NOT(ISBLANK(H343)),IF(NOT(ISNUMBER(G342)),1,G342+1),"")</f>
        <v/>
      </c>
      <c r="H343" s="3"/>
      <c r="J343" s="3" t="str">
        <f t="shared" ref="J343:J406" si="61">IF(NOT(ISBLANK(K343)),IF(NOT(ISNUMBER(J342)),1,J342+1),"")</f>
        <v/>
      </c>
      <c r="K343" s="3"/>
      <c r="M343" s="3" t="str">
        <f t="shared" ref="M343:M406" si="62">IF(NOT(ISBLANK(N343)),IF(NOT(ISNUMBER(M342)),1,M342+1),"")</f>
        <v/>
      </c>
      <c r="N343" s="3"/>
      <c r="P343" s="3" t="str">
        <f t="shared" ref="P343:P406" si="63">IF(NOT(ISBLANK(Q343)),IF(NOT(ISNUMBER(P342)),1,P342+1),"")</f>
        <v/>
      </c>
      <c r="Q343" s="3"/>
      <c r="S343" s="3" t="str">
        <f t="shared" ref="S343:S406" si="64">IF(NOT(ISBLANK(T343)),IF(NOT(ISNUMBER(S342)),1,S342+1),"")</f>
        <v/>
      </c>
      <c r="T343" s="3"/>
      <c r="V343" s="3" t="str">
        <f t="shared" ref="V343:V406" si="65">IF(NOT(ISBLANK(W343)),IF(NOT(ISNUMBER(V342)),1,V342+1),"")</f>
        <v/>
      </c>
      <c r="W343" s="3"/>
      <c r="Y343" s="3" t="str">
        <f t="shared" ref="Y343:Y406" si="66">IF(NOT(ISBLANK(Z343)),IF(NOT(ISNUMBER(Y342)),1,Y342+1),"")</f>
        <v/>
      </c>
      <c r="Z343" s="3"/>
      <c r="AB343" s="3" t="str">
        <f t="shared" ref="AB343:AB406" si="67">IF(NOT(ISBLANK(AC343)),IF(NOT(ISNUMBER(AB342)),1,AB342+1),"")</f>
        <v/>
      </c>
      <c r="AC343" s="3"/>
      <c r="AE343" s="3">
        <f t="shared" ref="AE343:AE406" si="68">IF(NOT(ISBLANK(AF343)),IF(NOT(ISNUMBER(AE342)),1,AE342+1),"")</f>
        <v>337</v>
      </c>
      <c r="AF343" s="3" t="str">
        <v>Staff: Kengo Shigemura (Editing)</v>
      </c>
      <c r="AH343" s="3">
        <f t="shared" si="59"/>
        <v>337</v>
      </c>
      <c r="AI343" s="3" t="str">
        <v>Staff Role: Weapon Supervisor</v>
      </c>
    </row>
    <row r="344" spans="1:35" x14ac:dyDescent="0.3">
      <c r="A344" t="str">
        <f>HYPERLINK("https://anilist.co/staff/100316","Staff: Gen Fukunaga (Executive Producer (English))")</f>
        <v>Staff: Gen Fukunaga (Executive Producer (English))</v>
      </c>
      <c r="B344" s="5">
        <v>90</v>
      </c>
      <c r="C344" s="9">
        <v>2</v>
      </c>
      <c r="D344" s="6">
        <v>2.8109627547434998E-4</v>
      </c>
      <c r="E344" s="7">
        <v>2.5298664792691401E-2</v>
      </c>
      <c r="G344" s="3" t="str">
        <f t="shared" si="60"/>
        <v/>
      </c>
      <c r="H344" s="3"/>
      <c r="J344" s="3" t="str">
        <f t="shared" si="61"/>
        <v/>
      </c>
      <c r="K344" s="3"/>
      <c r="M344" s="3" t="str">
        <f t="shared" si="62"/>
        <v/>
      </c>
      <c r="N344" s="3"/>
      <c r="P344" s="3" t="str">
        <f t="shared" si="63"/>
        <v/>
      </c>
      <c r="Q344" s="3"/>
      <c r="S344" s="3" t="str">
        <f t="shared" si="64"/>
        <v/>
      </c>
      <c r="T344" s="3"/>
      <c r="V344" s="3" t="str">
        <f t="shared" si="65"/>
        <v/>
      </c>
      <c r="W344" s="3"/>
      <c r="Y344" s="3" t="str">
        <f t="shared" si="66"/>
        <v/>
      </c>
      <c r="Z344" s="3"/>
      <c r="AB344" s="3" t="str">
        <f t="shared" si="67"/>
        <v/>
      </c>
      <c r="AC344" s="3"/>
      <c r="AE344" s="3">
        <f t="shared" si="68"/>
        <v>338</v>
      </c>
      <c r="AF344" s="3" t="str">
        <v>Staff:  Chata (Insert Song Performance (ep 20))</v>
      </c>
      <c r="AH344" s="3">
        <f t="shared" si="59"/>
        <v>338</v>
      </c>
      <c r="AI344" s="3" t="str">
        <v>Staff Role: Action Animation Director (OP, ep 1)</v>
      </c>
    </row>
    <row r="345" spans="1:35" x14ac:dyDescent="0.3">
      <c r="A345" t="str">
        <f>HYPERLINK("https://anilist.co/staff/142326","Staff: Noboru Yamada (Planning)")</f>
        <v>Staff: Noboru Yamada (Planning)</v>
      </c>
      <c r="B345" s="5">
        <v>90</v>
      </c>
      <c r="C345" s="9">
        <v>2</v>
      </c>
      <c r="D345" s="6">
        <v>2.8109627547434998E-4</v>
      </c>
      <c r="E345" s="7">
        <v>2.5298664792691401E-2</v>
      </c>
      <c r="G345" s="3" t="str">
        <f t="shared" si="60"/>
        <v/>
      </c>
      <c r="H345" s="3"/>
      <c r="J345" s="3" t="str">
        <f t="shared" si="61"/>
        <v/>
      </c>
      <c r="K345" s="3"/>
      <c r="M345" s="3" t="str">
        <f t="shared" si="62"/>
        <v/>
      </c>
      <c r="N345" s="3"/>
      <c r="P345" s="3" t="str">
        <f t="shared" si="63"/>
        <v/>
      </c>
      <c r="Q345" s="3"/>
      <c r="S345" s="3" t="str">
        <f t="shared" si="64"/>
        <v/>
      </c>
      <c r="T345" s="3"/>
      <c r="V345" s="3" t="str">
        <f t="shared" si="65"/>
        <v/>
      </c>
      <c r="W345" s="3"/>
      <c r="Y345" s="3" t="str">
        <f t="shared" si="66"/>
        <v/>
      </c>
      <c r="Z345" s="3"/>
      <c r="AB345" s="3" t="str">
        <f t="shared" si="67"/>
        <v/>
      </c>
      <c r="AC345" s="3"/>
      <c r="AE345" s="3">
        <f t="shared" si="68"/>
        <v>339</v>
      </c>
      <c r="AF345" s="3" t="str">
        <v>Staff: Mutsuo Shinohara (Art Director)</v>
      </c>
      <c r="AH345" s="3">
        <f t="shared" si="59"/>
        <v>339</v>
      </c>
      <c r="AI345" s="3" t="str">
        <v>Staff Role: Mixing Engineer (English)</v>
      </c>
    </row>
    <row r="346" spans="1:35" x14ac:dyDescent="0.3">
      <c r="A346" t="s">
        <v>26</v>
      </c>
      <c r="B346" s="5">
        <v>85</v>
      </c>
      <c r="C346" s="9">
        <v>2</v>
      </c>
      <c r="D346" s="6">
        <v>2.8109627547434998E-4</v>
      </c>
      <c r="E346" s="7">
        <v>2.3893183415319701E-2</v>
      </c>
      <c r="G346" s="3" t="str">
        <f t="shared" si="60"/>
        <v/>
      </c>
      <c r="H346" s="3"/>
      <c r="J346" s="3" t="str">
        <f t="shared" si="61"/>
        <v/>
      </c>
      <c r="K346" s="3"/>
      <c r="M346" s="3" t="str">
        <f t="shared" si="62"/>
        <v/>
      </c>
      <c r="N346" s="3"/>
      <c r="P346" s="3" t="str">
        <f t="shared" si="63"/>
        <v/>
      </c>
      <c r="Q346" s="3"/>
      <c r="S346" s="3" t="str">
        <f t="shared" si="64"/>
        <v/>
      </c>
      <c r="T346" s="3"/>
      <c r="V346" s="3" t="str">
        <f t="shared" si="65"/>
        <v/>
      </c>
      <c r="W346" s="3"/>
      <c r="Y346" s="3" t="str">
        <f t="shared" si="66"/>
        <v/>
      </c>
      <c r="Z346" s="3"/>
      <c r="AB346" s="3" t="str">
        <f t="shared" si="67"/>
        <v/>
      </c>
      <c r="AC346" s="3"/>
      <c r="AE346" s="3">
        <f t="shared" si="68"/>
        <v>340</v>
      </c>
      <c r="AF346" s="3" t="str">
        <v>Staff:  eufonius (Insert Song Performance (ep 20))</v>
      </c>
      <c r="AH346" s="3">
        <f t="shared" si="59"/>
        <v>340</v>
      </c>
      <c r="AI346" s="3" t="str">
        <v>Staff Role: Animation Director (eps 2, 8, 10, 13)</v>
      </c>
    </row>
    <row r="347" spans="1:35" x14ac:dyDescent="0.3">
      <c r="A347" t="s">
        <v>152</v>
      </c>
      <c r="B347" s="5">
        <v>85</v>
      </c>
      <c r="C347" s="9">
        <v>2</v>
      </c>
      <c r="D347" s="6">
        <v>2.8109627547434998E-4</v>
      </c>
      <c r="E347" s="7">
        <v>2.3893183415319701E-2</v>
      </c>
      <c r="G347" s="3" t="str">
        <f t="shared" si="60"/>
        <v/>
      </c>
      <c r="H347" s="3"/>
      <c r="J347" s="3" t="str">
        <f t="shared" si="61"/>
        <v/>
      </c>
      <c r="K347" s="3"/>
      <c r="M347" s="3" t="str">
        <f t="shared" si="62"/>
        <v/>
      </c>
      <c r="N347" s="3"/>
      <c r="P347" s="3" t="str">
        <f t="shared" si="63"/>
        <v/>
      </c>
      <c r="Q347" s="3"/>
      <c r="S347" s="3" t="str">
        <f t="shared" si="64"/>
        <v/>
      </c>
      <c r="T347" s="3"/>
      <c r="V347" s="3" t="str">
        <f t="shared" si="65"/>
        <v/>
      </c>
      <c r="W347" s="3"/>
      <c r="Y347" s="3" t="str">
        <f t="shared" si="66"/>
        <v/>
      </c>
      <c r="Z347" s="3"/>
      <c r="AB347" s="3" t="str">
        <f t="shared" si="67"/>
        <v/>
      </c>
      <c r="AC347" s="3"/>
      <c r="AE347" s="3">
        <f t="shared" si="68"/>
        <v>341</v>
      </c>
      <c r="AF347" s="3" t="str">
        <v>Staff: Shinji Takamatsu (Script)</v>
      </c>
      <c r="AH347" s="3">
        <f t="shared" si="59"/>
        <v>341</v>
      </c>
      <c r="AI347" s="3" t="str">
        <v>Staff Role: Key Animation (eps 8, 13)</v>
      </c>
    </row>
    <row r="348" spans="1:35" x14ac:dyDescent="0.3">
      <c r="A348" t="s">
        <v>187</v>
      </c>
      <c r="B348" s="5">
        <v>85</v>
      </c>
      <c r="C348" s="9">
        <v>2</v>
      </c>
      <c r="D348" s="6">
        <v>2.8109627547434998E-4</v>
      </c>
      <c r="E348" s="7">
        <v>2.3893183415319701E-2</v>
      </c>
      <c r="G348" s="3" t="str">
        <f t="shared" si="60"/>
        <v/>
      </c>
      <c r="H348" s="3"/>
      <c r="J348" s="3" t="str">
        <f t="shared" si="61"/>
        <v/>
      </c>
      <c r="K348" s="3"/>
      <c r="M348" s="3" t="str">
        <f t="shared" si="62"/>
        <v/>
      </c>
      <c r="N348" s="3"/>
      <c r="P348" s="3" t="str">
        <f t="shared" si="63"/>
        <v/>
      </c>
      <c r="Q348" s="3"/>
      <c r="S348" s="3" t="str">
        <f t="shared" si="64"/>
        <v/>
      </c>
      <c r="T348" s="3"/>
      <c r="V348" s="3" t="str">
        <f t="shared" si="65"/>
        <v/>
      </c>
      <c r="W348" s="3"/>
      <c r="Y348" s="3" t="str">
        <f t="shared" si="66"/>
        <v/>
      </c>
      <c r="Z348" s="3"/>
      <c r="AB348" s="3" t="str">
        <f t="shared" si="67"/>
        <v/>
      </c>
      <c r="AC348" s="3"/>
      <c r="AE348" s="3">
        <f t="shared" si="68"/>
        <v>342</v>
      </c>
      <c r="AF348" s="3" t="str">
        <v>Staff: Shinji Takamatsu (Storyboard  (OP))</v>
      </c>
      <c r="AH348" s="3">
        <f t="shared" si="59"/>
        <v>342</v>
      </c>
      <c r="AI348" s="3" t="str">
        <v>Staff Role: Storyboard (ep 10)</v>
      </c>
    </row>
    <row r="349" spans="1:35" x14ac:dyDescent="0.3">
      <c r="A349" t="s">
        <v>211</v>
      </c>
      <c r="B349" s="5">
        <v>85</v>
      </c>
      <c r="C349" s="9">
        <v>2</v>
      </c>
      <c r="D349" s="6">
        <v>2.8109627547434998E-4</v>
      </c>
      <c r="E349" s="7">
        <v>2.3893183415319701E-2</v>
      </c>
      <c r="G349" s="3" t="str">
        <f t="shared" si="60"/>
        <v/>
      </c>
      <c r="H349" s="3"/>
      <c r="J349" s="3" t="str">
        <f t="shared" si="61"/>
        <v/>
      </c>
      <c r="K349" s="3"/>
      <c r="M349" s="3" t="str">
        <f t="shared" si="62"/>
        <v/>
      </c>
      <c r="N349" s="3"/>
      <c r="P349" s="3" t="str">
        <f t="shared" si="63"/>
        <v/>
      </c>
      <c r="Q349" s="3"/>
      <c r="S349" s="3" t="str">
        <f t="shared" si="64"/>
        <v/>
      </c>
      <c r="T349" s="3"/>
      <c r="V349" s="3" t="str">
        <f t="shared" si="65"/>
        <v/>
      </c>
      <c r="W349" s="3"/>
      <c r="Y349" s="3" t="str">
        <f t="shared" si="66"/>
        <v/>
      </c>
      <c r="Z349" s="3"/>
      <c r="AB349" s="3" t="str">
        <f t="shared" si="67"/>
        <v/>
      </c>
      <c r="AC349" s="3"/>
      <c r="AE349" s="3">
        <f t="shared" si="68"/>
        <v>343</v>
      </c>
      <c r="AF349" s="3" t="str">
        <v>Staff: Yasunobu Yamauchi (Original Creator)</v>
      </c>
      <c r="AH349" s="3">
        <f t="shared" si="59"/>
        <v>343</v>
      </c>
      <c r="AI349" s="3" t="str">
        <v>Staff Role: Episode Director (OP, eps 3, 10, 13)</v>
      </c>
    </row>
    <row r="350" spans="1:35" x14ac:dyDescent="0.3">
      <c r="A350" t="s">
        <v>215</v>
      </c>
      <c r="B350" s="5">
        <v>85</v>
      </c>
      <c r="C350" s="9">
        <v>2</v>
      </c>
      <c r="D350" s="6">
        <v>2.8109627547434998E-4</v>
      </c>
      <c r="E350" s="7">
        <v>2.3893183415319701E-2</v>
      </c>
      <c r="G350" s="3" t="str">
        <f t="shared" si="60"/>
        <v/>
      </c>
      <c r="H350" s="3"/>
      <c r="J350" s="3" t="str">
        <f t="shared" si="61"/>
        <v/>
      </c>
      <c r="K350" s="3"/>
      <c r="M350" s="3" t="str">
        <f t="shared" si="62"/>
        <v/>
      </c>
      <c r="N350" s="3"/>
      <c r="P350" s="3" t="str">
        <f t="shared" si="63"/>
        <v/>
      </c>
      <c r="Q350" s="3"/>
      <c r="S350" s="3" t="str">
        <f t="shared" si="64"/>
        <v/>
      </c>
      <c r="T350" s="3"/>
      <c r="V350" s="3" t="str">
        <f t="shared" si="65"/>
        <v/>
      </c>
      <c r="W350" s="3"/>
      <c r="Y350" s="3" t="str">
        <f t="shared" si="66"/>
        <v/>
      </c>
      <c r="Z350" s="3"/>
      <c r="AB350" s="3" t="str">
        <f t="shared" si="67"/>
        <v/>
      </c>
      <c r="AC350" s="3"/>
      <c r="AE350" s="3">
        <f t="shared" si="68"/>
        <v>344</v>
      </c>
      <c r="AF350" s="3" t="str">
        <v>Staff: Toshiaki Iino (Key Animation  (ep 5))</v>
      </c>
      <c r="AH350" s="3">
        <f t="shared" si="59"/>
        <v>344</v>
      </c>
      <c r="AI350" s="3" t="str">
        <v>Staff Role: Animation Director (OP, ED, ep 1)</v>
      </c>
    </row>
    <row r="351" spans="1:35" x14ac:dyDescent="0.3">
      <c r="A351" t="s">
        <v>299</v>
      </c>
      <c r="B351" s="5">
        <v>85</v>
      </c>
      <c r="C351" s="9">
        <v>2</v>
      </c>
      <c r="D351" s="6">
        <v>2.8109627547434998E-4</v>
      </c>
      <c r="E351" s="7">
        <v>2.3893183415319701E-2</v>
      </c>
      <c r="G351" s="3" t="str">
        <f t="shared" si="60"/>
        <v/>
      </c>
      <c r="H351" s="3"/>
      <c r="J351" s="3" t="str">
        <f t="shared" si="61"/>
        <v/>
      </c>
      <c r="K351" s="3"/>
      <c r="M351" s="3" t="str">
        <f t="shared" si="62"/>
        <v/>
      </c>
      <c r="N351" s="3"/>
      <c r="P351" s="3" t="str">
        <f t="shared" si="63"/>
        <v/>
      </c>
      <c r="Q351" s="3"/>
      <c r="S351" s="3" t="str">
        <f t="shared" si="64"/>
        <v/>
      </c>
      <c r="T351" s="3"/>
      <c r="V351" s="3" t="str">
        <f t="shared" si="65"/>
        <v/>
      </c>
      <c r="W351" s="3"/>
      <c r="Y351" s="3" t="str">
        <f t="shared" si="66"/>
        <v/>
      </c>
      <c r="Z351" s="3"/>
      <c r="AB351" s="3" t="str">
        <f t="shared" si="67"/>
        <v/>
      </c>
      <c r="AC351" s="3"/>
      <c r="AE351" s="3">
        <f t="shared" si="68"/>
        <v>345</v>
      </c>
      <c r="AF351" s="3" t="str">
        <v>Staff: Yoshinori Yumoto (2nd Key Animation  (ep 2))</v>
      </c>
      <c r="AH351" s="3">
        <f t="shared" si="59"/>
        <v>345</v>
      </c>
      <c r="AI351" s="3" t="str">
        <v>Staff Role: Key Animation (OP, ep 3-13)</v>
      </c>
    </row>
    <row r="352" spans="1:35" x14ac:dyDescent="0.3">
      <c r="A352" t="s">
        <v>301</v>
      </c>
      <c r="B352" s="5">
        <v>85</v>
      </c>
      <c r="C352" s="9">
        <v>2</v>
      </c>
      <c r="D352" s="6">
        <v>2.8109627547434998E-4</v>
      </c>
      <c r="E352" s="7">
        <v>2.3893183415319701E-2</v>
      </c>
      <c r="G352" s="3" t="str">
        <f t="shared" si="60"/>
        <v/>
      </c>
      <c r="H352" s="3"/>
      <c r="J352" s="3" t="str">
        <f t="shared" si="61"/>
        <v/>
      </c>
      <c r="K352" s="3"/>
      <c r="M352" s="3" t="str">
        <f t="shared" si="62"/>
        <v/>
      </c>
      <c r="N352" s="3"/>
      <c r="P352" s="3" t="str">
        <f t="shared" si="63"/>
        <v/>
      </c>
      <c r="Q352" s="3"/>
      <c r="S352" s="3" t="str">
        <f t="shared" si="64"/>
        <v/>
      </c>
      <c r="T352" s="3"/>
      <c r="V352" s="3" t="str">
        <f t="shared" si="65"/>
        <v/>
      </c>
      <c r="W352" s="3"/>
      <c r="Y352" s="3" t="str">
        <f t="shared" si="66"/>
        <v/>
      </c>
      <c r="Z352" s="3"/>
      <c r="AB352" s="3" t="str">
        <f t="shared" si="67"/>
        <v/>
      </c>
      <c r="AC352" s="3"/>
      <c r="AE352" s="3">
        <f t="shared" si="68"/>
        <v>346</v>
      </c>
      <c r="AF352" s="3" t="str">
        <v>Staff: Yoshinori Yumoto (Character Design)</v>
      </c>
      <c r="AH352" s="3">
        <f t="shared" si="59"/>
        <v>346</v>
      </c>
      <c r="AI352" s="3" t="str">
        <v>Staff Role: Key Animation (eps 2, 6, 8)</v>
      </c>
    </row>
    <row r="353" spans="1:35" x14ac:dyDescent="0.3">
      <c r="A353" t="s">
        <v>355</v>
      </c>
      <c r="B353" s="5">
        <v>85</v>
      </c>
      <c r="C353" s="9">
        <v>2</v>
      </c>
      <c r="D353" s="6">
        <v>2.8109627547434998E-4</v>
      </c>
      <c r="E353" s="7">
        <v>2.3893183415319701E-2</v>
      </c>
      <c r="G353" s="3" t="str">
        <f t="shared" si="60"/>
        <v/>
      </c>
      <c r="H353" s="3"/>
      <c r="J353" s="3" t="str">
        <f t="shared" si="61"/>
        <v/>
      </c>
      <c r="K353" s="3"/>
      <c r="M353" s="3" t="str">
        <f t="shared" si="62"/>
        <v/>
      </c>
      <c r="N353" s="3"/>
      <c r="P353" s="3" t="str">
        <f t="shared" si="63"/>
        <v/>
      </c>
      <c r="Q353" s="3"/>
      <c r="S353" s="3" t="str">
        <f t="shared" si="64"/>
        <v/>
      </c>
      <c r="T353" s="3"/>
      <c r="V353" s="3" t="str">
        <f t="shared" si="65"/>
        <v/>
      </c>
      <c r="W353" s="3"/>
      <c r="Y353" s="3" t="str">
        <f t="shared" si="66"/>
        <v/>
      </c>
      <c r="Z353" s="3"/>
      <c r="AB353" s="3" t="str">
        <f t="shared" si="67"/>
        <v/>
      </c>
      <c r="AC353" s="3"/>
      <c r="AE353" s="3">
        <f t="shared" si="68"/>
        <v>347</v>
      </c>
      <c r="AF353" s="3" t="str">
        <v>Staff: Yoshinori Yumoto (Key Animation  (ep 6))</v>
      </c>
      <c r="AH353" s="3">
        <f t="shared" si="59"/>
        <v>347</v>
      </c>
      <c r="AI353" s="3" t="str">
        <v>Staff Role: Animation Director (eps 6, 10, 13)</v>
      </c>
    </row>
    <row r="354" spans="1:35" x14ac:dyDescent="0.3">
      <c r="A354" t="s">
        <v>552</v>
      </c>
      <c r="B354" s="5">
        <v>85</v>
      </c>
      <c r="C354" s="9">
        <v>2</v>
      </c>
      <c r="D354" s="6">
        <v>2.8109627547434998E-4</v>
      </c>
      <c r="E354" s="7">
        <v>2.3893183415319701E-2</v>
      </c>
      <c r="G354" s="3" t="str">
        <f t="shared" si="60"/>
        <v/>
      </c>
      <c r="H354" s="3"/>
      <c r="J354" s="3" t="str">
        <f t="shared" si="61"/>
        <v/>
      </c>
      <c r="K354" s="3"/>
      <c r="M354" s="3" t="str">
        <f t="shared" si="62"/>
        <v/>
      </c>
      <c r="N354" s="3"/>
      <c r="P354" s="3" t="str">
        <f t="shared" si="63"/>
        <v/>
      </c>
      <c r="Q354" s="3"/>
      <c r="S354" s="3" t="str">
        <f t="shared" si="64"/>
        <v/>
      </c>
      <c r="T354" s="3"/>
      <c r="V354" s="3" t="str">
        <f t="shared" si="65"/>
        <v/>
      </c>
      <c r="W354" s="3"/>
      <c r="Y354" s="3" t="str">
        <f t="shared" si="66"/>
        <v/>
      </c>
      <c r="Z354" s="3"/>
      <c r="AB354" s="3" t="str">
        <f t="shared" si="67"/>
        <v/>
      </c>
      <c r="AC354" s="3"/>
      <c r="AE354" s="3">
        <f t="shared" si="68"/>
        <v>348</v>
      </c>
      <c r="AF354" s="3" t="str">
        <v>Staff: Yoshinori Yumoto (Animation Director  (OP, ep 1))</v>
      </c>
      <c r="AH354" s="3">
        <f t="shared" si="59"/>
        <v>348</v>
      </c>
      <c r="AI354" s="3" t="str">
        <v>Staff Role: Assistant Animation Director (eps 8, 12)</v>
      </c>
    </row>
    <row r="355" spans="1:35" x14ac:dyDescent="0.3">
      <c r="A355" t="s">
        <v>811</v>
      </c>
      <c r="B355" s="5">
        <v>85</v>
      </c>
      <c r="C355" s="9">
        <v>2</v>
      </c>
      <c r="D355" s="6">
        <v>2.8109627547434998E-4</v>
      </c>
      <c r="E355" s="7">
        <v>2.3893183415319701E-2</v>
      </c>
      <c r="G355" s="3" t="str">
        <f t="shared" si="60"/>
        <v/>
      </c>
      <c r="H355" s="3"/>
      <c r="J355" s="3" t="str">
        <f t="shared" si="61"/>
        <v/>
      </c>
      <c r="K355" s="3"/>
      <c r="M355" s="3" t="str">
        <f t="shared" si="62"/>
        <v/>
      </c>
      <c r="N355" s="3"/>
      <c r="P355" s="3" t="str">
        <f t="shared" si="63"/>
        <v/>
      </c>
      <c r="Q355" s="3"/>
      <c r="S355" s="3" t="str">
        <f t="shared" si="64"/>
        <v/>
      </c>
      <c r="T355" s="3"/>
      <c r="V355" s="3" t="str">
        <f t="shared" si="65"/>
        <v/>
      </c>
      <c r="W355" s="3"/>
      <c r="Y355" s="3" t="str">
        <f t="shared" si="66"/>
        <v/>
      </c>
      <c r="Z355" s="3"/>
      <c r="AB355" s="3" t="str">
        <f t="shared" si="67"/>
        <v/>
      </c>
      <c r="AC355" s="3"/>
      <c r="AE355" s="3">
        <f t="shared" si="68"/>
        <v>349</v>
      </c>
      <c r="AF355" s="3" t="str">
        <v>Staff: Yoshinori Yumoto (Chief Animation Director)</v>
      </c>
      <c r="AH355" s="3">
        <f t="shared" si="59"/>
        <v>349</v>
      </c>
      <c r="AI355" s="3" t="str">
        <v>Staff Role: Key Animation (eps 1, 2, 4, 6)</v>
      </c>
    </row>
    <row r="356" spans="1:35" x14ac:dyDescent="0.3">
      <c r="A356" t="str">
        <f>HYPERLINK("https://anilist.co/staff/117377","Staff: Masato Kouda (Music)")</f>
        <v>Staff: Masato Kouda (Music)</v>
      </c>
      <c r="B356" s="5">
        <v>85</v>
      </c>
      <c r="C356" s="9">
        <v>2</v>
      </c>
      <c r="D356" s="6">
        <v>2.8109627547434998E-4</v>
      </c>
      <c r="E356" s="7">
        <v>2.3893183415319701E-2</v>
      </c>
      <c r="G356" s="3" t="str">
        <f t="shared" si="60"/>
        <v/>
      </c>
      <c r="H356" s="3"/>
      <c r="J356" s="3" t="str">
        <f t="shared" si="61"/>
        <v/>
      </c>
      <c r="K356" s="3"/>
      <c r="M356" s="3" t="str">
        <f t="shared" si="62"/>
        <v/>
      </c>
      <c r="N356" s="3"/>
      <c r="P356" s="3" t="str">
        <f t="shared" si="63"/>
        <v/>
      </c>
      <c r="Q356" s="3"/>
      <c r="S356" s="3" t="str">
        <f t="shared" si="64"/>
        <v/>
      </c>
      <c r="T356" s="3"/>
      <c r="V356" s="3" t="str">
        <f t="shared" si="65"/>
        <v/>
      </c>
      <c r="W356" s="3"/>
      <c r="Y356" s="3" t="str">
        <f t="shared" si="66"/>
        <v/>
      </c>
      <c r="Z356" s="3"/>
      <c r="AB356" s="3" t="str">
        <f t="shared" si="67"/>
        <v/>
      </c>
      <c r="AC356" s="3"/>
      <c r="AE356" s="3">
        <f t="shared" si="68"/>
        <v>350</v>
      </c>
      <c r="AF356" s="3" t="str">
        <v>Staff: Kenichi Tajiri (Background Art)</v>
      </c>
      <c r="AH356" s="3">
        <f t="shared" si="59"/>
        <v>350</v>
      </c>
      <c r="AI356" s="3" t="str">
        <v>Staff Role: Animation Director (eps 7, 11)</v>
      </c>
    </row>
    <row r="357" spans="1:35" x14ac:dyDescent="0.3">
      <c r="A357" t="str">
        <f>HYPERLINK("https://anilist.co/staff/148541","Staff: Takashi Koujuu (Planning)")</f>
        <v>Staff: Takashi Koujuu (Planning)</v>
      </c>
      <c r="B357" s="5">
        <v>85</v>
      </c>
      <c r="C357" s="9">
        <v>2</v>
      </c>
      <c r="D357" s="6">
        <v>2.8109627547434998E-4</v>
      </c>
      <c r="E357" s="7">
        <v>2.3893183415319701E-2</v>
      </c>
      <c r="G357" s="3" t="str">
        <f t="shared" si="60"/>
        <v/>
      </c>
      <c r="H357" s="3"/>
      <c r="J357" s="3" t="str">
        <f t="shared" si="61"/>
        <v/>
      </c>
      <c r="K357" s="3"/>
      <c r="M357" s="3" t="str">
        <f t="shared" si="62"/>
        <v/>
      </c>
      <c r="N357" s="3"/>
      <c r="P357" s="3" t="str">
        <f t="shared" si="63"/>
        <v/>
      </c>
      <c r="Q357" s="3"/>
      <c r="S357" s="3" t="str">
        <f t="shared" si="64"/>
        <v/>
      </c>
      <c r="T357" s="3"/>
      <c r="V357" s="3" t="str">
        <f t="shared" si="65"/>
        <v/>
      </c>
      <c r="W357" s="3"/>
      <c r="Y357" s="3" t="str">
        <f t="shared" si="66"/>
        <v/>
      </c>
      <c r="Z357" s="3"/>
      <c r="AB357" s="3" t="str">
        <f t="shared" si="67"/>
        <v/>
      </c>
      <c r="AC357" s="3"/>
      <c r="AE357" s="3">
        <f t="shared" si="68"/>
        <v>351</v>
      </c>
      <c r="AF357" s="3" t="str">
        <v>Staff: Kenichi Tajiri (Art Director)</v>
      </c>
      <c r="AH357" s="3">
        <f t="shared" si="59"/>
        <v>351</v>
      </c>
      <c r="AI357" s="3" t="str">
        <v>Staff Role: Key Animation (eps 1, 4, 6)</v>
      </c>
    </row>
    <row r="358" spans="1:35" x14ac:dyDescent="0.3">
      <c r="A358" t="str">
        <f>HYPERLINK("https://anilist.co/staff/100152","Staff: Shinji Takamatsu (Sound Director)")</f>
        <v>Staff: Shinji Takamatsu (Sound Director)</v>
      </c>
      <c r="B358" s="5">
        <v>85</v>
      </c>
      <c r="C358" s="9">
        <v>2</v>
      </c>
      <c r="D358" s="6">
        <v>2.8109627547434998E-4</v>
      </c>
      <c r="E358" s="7">
        <v>2.3893183415319701E-2</v>
      </c>
      <c r="G358" s="3" t="str">
        <f t="shared" si="60"/>
        <v/>
      </c>
      <c r="H358" s="3"/>
      <c r="J358" s="3" t="str">
        <f t="shared" si="61"/>
        <v/>
      </c>
      <c r="K358" s="3"/>
      <c r="M358" s="3" t="str">
        <f t="shared" si="62"/>
        <v/>
      </c>
      <c r="N358" s="3"/>
      <c r="P358" s="3" t="str">
        <f t="shared" si="63"/>
        <v/>
      </c>
      <c r="Q358" s="3"/>
      <c r="S358" s="3" t="str">
        <f t="shared" si="64"/>
        <v/>
      </c>
      <c r="T358" s="3"/>
      <c r="V358" s="3" t="str">
        <f t="shared" si="65"/>
        <v/>
      </c>
      <c r="W358" s="3"/>
      <c r="Y358" s="3" t="str">
        <f t="shared" si="66"/>
        <v/>
      </c>
      <c r="Z358" s="3"/>
      <c r="AB358" s="3" t="str">
        <f t="shared" si="67"/>
        <v/>
      </c>
      <c r="AC358" s="3"/>
      <c r="AE358" s="3">
        <f t="shared" si="68"/>
        <v>352</v>
      </c>
      <c r="AF358" s="3" t="str">
        <v>Staff: Ayako Kurata (Animation Director  (ED))</v>
      </c>
      <c r="AH358" s="3">
        <f t="shared" si="59"/>
        <v>352</v>
      </c>
      <c r="AI358" s="3" t="str">
        <v>Staff Role: Script (eps 4, 5, 7, 11)</v>
      </c>
    </row>
    <row r="359" spans="1:35" x14ac:dyDescent="0.3">
      <c r="A359" t="str">
        <f>HYPERLINK("https://anilist.co/staff/103185","Staff: Takeshi Takadera (Sound Director)")</f>
        <v>Staff: Takeshi Takadera (Sound Director)</v>
      </c>
      <c r="B359" s="5">
        <v>85</v>
      </c>
      <c r="C359" s="9">
        <v>2</v>
      </c>
      <c r="D359" s="6">
        <v>2.8109627547434998E-4</v>
      </c>
      <c r="E359" s="7">
        <v>2.3893183415319701E-2</v>
      </c>
      <c r="G359" s="3" t="str">
        <f t="shared" si="60"/>
        <v/>
      </c>
      <c r="H359" s="3"/>
      <c r="J359" s="3" t="str">
        <f t="shared" si="61"/>
        <v/>
      </c>
      <c r="K359" s="3"/>
      <c r="M359" s="3" t="str">
        <f t="shared" si="62"/>
        <v/>
      </c>
      <c r="N359" s="3"/>
      <c r="P359" s="3" t="str">
        <f t="shared" si="63"/>
        <v/>
      </c>
      <c r="Q359" s="3"/>
      <c r="S359" s="3" t="str">
        <f t="shared" si="64"/>
        <v/>
      </c>
      <c r="T359" s="3"/>
      <c r="V359" s="3" t="str">
        <f t="shared" si="65"/>
        <v/>
      </c>
      <c r="W359" s="3"/>
      <c r="Y359" s="3" t="str">
        <f t="shared" si="66"/>
        <v/>
      </c>
      <c r="Z359" s="3"/>
      <c r="AB359" s="3" t="str">
        <f t="shared" si="67"/>
        <v/>
      </c>
      <c r="AC359" s="3"/>
      <c r="AE359" s="3">
        <f t="shared" si="68"/>
        <v>353</v>
      </c>
      <c r="AF359" s="3" t="str">
        <v>Staff: Ayako Kurata (Key Animation  (ED))</v>
      </c>
      <c r="AH359" s="3">
        <f t="shared" si="59"/>
        <v>353</v>
      </c>
      <c r="AI359" s="3" t="str">
        <v>Staff Role: Opening Theme Producer</v>
      </c>
    </row>
    <row r="360" spans="1:35" x14ac:dyDescent="0.3">
      <c r="A360" t="str">
        <f>HYPERLINK("https://anilist.co/staff/96893","Staff: Yoshihiro Togashi (Original Creator)")</f>
        <v>Staff: Yoshihiro Togashi (Original Creator)</v>
      </c>
      <c r="B360" s="5">
        <v>85</v>
      </c>
      <c r="C360" s="9">
        <v>2</v>
      </c>
      <c r="D360" s="6">
        <v>2.8109627547434998E-4</v>
      </c>
      <c r="E360" s="7">
        <v>2.3893183415319701E-2</v>
      </c>
      <c r="G360" s="3" t="str">
        <f t="shared" si="60"/>
        <v/>
      </c>
      <c r="H360" s="3"/>
      <c r="J360" s="3" t="str">
        <f t="shared" si="61"/>
        <v/>
      </c>
      <c r="K360" s="3"/>
      <c r="M360" s="3" t="str">
        <f t="shared" si="62"/>
        <v/>
      </c>
      <c r="N360" s="3"/>
      <c r="P360" s="3" t="str">
        <f t="shared" si="63"/>
        <v/>
      </c>
      <c r="Q360" s="3"/>
      <c r="S360" s="3" t="str">
        <f t="shared" si="64"/>
        <v/>
      </c>
      <c r="T360" s="3"/>
      <c r="V360" s="3" t="str">
        <f t="shared" si="65"/>
        <v/>
      </c>
      <c r="W360" s="3"/>
      <c r="Y360" s="3" t="str">
        <f t="shared" si="66"/>
        <v/>
      </c>
      <c r="Z360" s="3"/>
      <c r="AB360" s="3" t="str">
        <f t="shared" si="67"/>
        <v/>
      </c>
      <c r="AC360" s="3"/>
      <c r="AE360" s="3">
        <f t="shared" si="68"/>
        <v>354</v>
      </c>
      <c r="AF360" s="3" t="str">
        <v>Staff: Ai Yoshimura (Storyboard (1, 2, 5))</v>
      </c>
      <c r="AH360" s="3">
        <f t="shared" si="59"/>
        <v>354</v>
      </c>
      <c r="AI360" s="3" t="str">
        <v>Staff Role: Chief Animation Director (ED2, eps 1, 3, 6, 8, 10, 12)</v>
      </c>
    </row>
    <row r="361" spans="1:35" x14ac:dyDescent="0.3">
      <c r="A361" t="str">
        <f>HYPERLINK("https://anilist.co/staff/120016","Staff: Akiyuki Tateyama (Music)")</f>
        <v>Staff: Akiyuki Tateyama (Music)</v>
      </c>
      <c r="B361" s="5">
        <v>85</v>
      </c>
      <c r="C361" s="9">
        <v>2</v>
      </c>
      <c r="D361" s="6">
        <v>2.8109627547434998E-4</v>
      </c>
      <c r="E361" s="7">
        <v>2.3893183415319701E-2</v>
      </c>
      <c r="G361" s="3" t="str">
        <f t="shared" si="60"/>
        <v/>
      </c>
      <c r="H361" s="3"/>
      <c r="J361" s="3" t="str">
        <f t="shared" si="61"/>
        <v/>
      </c>
      <c r="K361" s="3"/>
      <c r="M361" s="3" t="str">
        <f t="shared" si="62"/>
        <v/>
      </c>
      <c r="N361" s="3"/>
      <c r="P361" s="3" t="str">
        <f t="shared" si="63"/>
        <v/>
      </c>
      <c r="Q361" s="3"/>
      <c r="S361" s="3" t="str">
        <f t="shared" si="64"/>
        <v/>
      </c>
      <c r="T361" s="3"/>
      <c r="V361" s="3" t="str">
        <f t="shared" si="65"/>
        <v/>
      </c>
      <c r="W361" s="3"/>
      <c r="Y361" s="3" t="str">
        <f t="shared" si="66"/>
        <v/>
      </c>
      <c r="Z361" s="3"/>
      <c r="AB361" s="3" t="str">
        <f t="shared" si="67"/>
        <v/>
      </c>
      <c r="AC361" s="3"/>
      <c r="AE361" s="3">
        <f t="shared" si="68"/>
        <v>355</v>
      </c>
      <c r="AF361" s="3" t="str">
        <v>Staff: Ai Yoshimura (Assistant Director)</v>
      </c>
      <c r="AH361" s="3">
        <f t="shared" si="59"/>
        <v>355</v>
      </c>
      <c r="AI361" s="3" t="str">
        <v>Staff Role: Script (eps 3, 7, 10)</v>
      </c>
    </row>
    <row r="362" spans="1:35" x14ac:dyDescent="0.3">
      <c r="A362" t="str">
        <f>HYPERLINK("https://anilist.co/staff/148573","Staff: Souji Miyagi (Producer)")</f>
        <v>Staff: Souji Miyagi (Producer)</v>
      </c>
      <c r="B362" s="5">
        <v>85</v>
      </c>
      <c r="C362" s="9">
        <v>2</v>
      </c>
      <c r="D362" s="6">
        <v>2.8109627547434998E-4</v>
      </c>
      <c r="E362" s="7">
        <v>2.3893183415319701E-2</v>
      </c>
      <c r="G362" s="3" t="str">
        <f t="shared" si="60"/>
        <v/>
      </c>
      <c r="H362" s="3"/>
      <c r="J362" s="3" t="str">
        <f t="shared" si="61"/>
        <v/>
      </c>
      <c r="K362" s="3"/>
      <c r="M362" s="3" t="str">
        <f t="shared" si="62"/>
        <v/>
      </c>
      <c r="N362" s="3"/>
      <c r="P362" s="3" t="str">
        <f t="shared" si="63"/>
        <v/>
      </c>
      <c r="Q362" s="3"/>
      <c r="S362" s="3" t="str">
        <f t="shared" si="64"/>
        <v/>
      </c>
      <c r="T362" s="3"/>
      <c r="V362" s="3" t="str">
        <f t="shared" si="65"/>
        <v/>
      </c>
      <c r="W362" s="3"/>
      <c r="Y362" s="3" t="str">
        <f t="shared" si="66"/>
        <v/>
      </c>
      <c r="Z362" s="3"/>
      <c r="AB362" s="3" t="str">
        <f t="shared" si="67"/>
        <v/>
      </c>
      <c r="AC362" s="3"/>
      <c r="AE362" s="3">
        <f t="shared" si="68"/>
        <v>356</v>
      </c>
      <c r="AF362" s="3" t="str">
        <v>Staff: Ai Yoshimura (Episode Director  (1, 2, 5, OP))</v>
      </c>
      <c r="AH362" s="3">
        <f t="shared" si="59"/>
        <v>356</v>
      </c>
      <c r="AI362" s="3" t="str">
        <v>Staff Role: Script (eps 1, 5, 12)</v>
      </c>
    </row>
    <row r="363" spans="1:35" x14ac:dyDescent="0.3">
      <c r="A363" t="s">
        <v>16</v>
      </c>
      <c r="B363" s="5">
        <v>80</v>
      </c>
      <c r="C363" s="9">
        <v>2</v>
      </c>
      <c r="D363" s="6">
        <v>2.8109627547434998E-4</v>
      </c>
      <c r="E363" s="7">
        <v>2.24877020379479E-2</v>
      </c>
      <c r="G363" s="3" t="str">
        <f t="shared" si="60"/>
        <v/>
      </c>
      <c r="H363" s="3"/>
      <c r="J363" s="3" t="str">
        <f t="shared" si="61"/>
        <v/>
      </c>
      <c r="K363" s="3"/>
      <c r="M363" s="3" t="str">
        <f t="shared" si="62"/>
        <v/>
      </c>
      <c r="N363" s="3"/>
      <c r="P363" s="3" t="str">
        <f t="shared" si="63"/>
        <v/>
      </c>
      <c r="Q363" s="3"/>
      <c r="S363" s="3" t="str">
        <f t="shared" si="64"/>
        <v/>
      </c>
      <c r="T363" s="3"/>
      <c r="V363" s="3" t="str">
        <f t="shared" si="65"/>
        <v/>
      </c>
      <c r="W363" s="3"/>
      <c r="Y363" s="3" t="str">
        <f t="shared" si="66"/>
        <v/>
      </c>
      <c r="Z363" s="3"/>
      <c r="AB363" s="3" t="str">
        <f t="shared" si="67"/>
        <v/>
      </c>
      <c r="AC363" s="3"/>
      <c r="AE363" s="3">
        <f t="shared" si="68"/>
        <v>357</v>
      </c>
      <c r="AF363" s="3" t="str">
        <v>Staff: YUKI  (Theme Song Lyrics (OP))</v>
      </c>
      <c r="AH363" s="3">
        <f t="shared" si="59"/>
        <v>357</v>
      </c>
      <c r="AI363" s="3" t="str">
        <v>Staff Role: Script (eps 2, 6, 9)</v>
      </c>
    </row>
    <row r="364" spans="1:35" x14ac:dyDescent="0.3">
      <c r="A364" t="s">
        <v>24</v>
      </c>
      <c r="B364" s="5">
        <v>80</v>
      </c>
      <c r="C364" s="9">
        <v>2</v>
      </c>
      <c r="D364" s="6">
        <v>2.8109627547434998E-4</v>
      </c>
      <c r="E364" s="7">
        <v>2.24877020379479E-2</v>
      </c>
      <c r="G364" s="3" t="str">
        <f t="shared" si="60"/>
        <v/>
      </c>
      <c r="H364" s="3"/>
      <c r="J364" s="3" t="str">
        <f t="shared" si="61"/>
        <v/>
      </c>
      <c r="K364" s="3"/>
      <c r="M364" s="3" t="str">
        <f t="shared" si="62"/>
        <v/>
      </c>
      <c r="N364" s="3"/>
      <c r="P364" s="3" t="str">
        <f t="shared" si="63"/>
        <v/>
      </c>
      <c r="Q364" s="3"/>
      <c r="S364" s="3" t="str">
        <f t="shared" si="64"/>
        <v/>
      </c>
      <c r="T364" s="3"/>
      <c r="V364" s="3" t="str">
        <f t="shared" si="65"/>
        <v/>
      </c>
      <c r="W364" s="3"/>
      <c r="Y364" s="3" t="str">
        <f t="shared" si="66"/>
        <v/>
      </c>
      <c r="Z364" s="3"/>
      <c r="AB364" s="3" t="str">
        <f t="shared" si="67"/>
        <v/>
      </c>
      <c r="AC364" s="3"/>
      <c r="AE364" s="3">
        <f t="shared" si="68"/>
        <v>358</v>
      </c>
      <c r="AF364" s="3" t="str">
        <v>Staff: Michiyo Miki (Background Art)</v>
      </c>
      <c r="AH364" s="3">
        <f t="shared" si="59"/>
        <v>358</v>
      </c>
      <c r="AI364" s="3" t="str">
        <v xml:space="preserve">Staff Role: Chief Animation Director (eps 2, 4, 5, 7, 9, 11) </v>
      </c>
    </row>
    <row r="365" spans="1:35" x14ac:dyDescent="0.3">
      <c r="A365" t="s">
        <v>75</v>
      </c>
      <c r="B365" s="5">
        <v>80</v>
      </c>
      <c r="C365" s="9">
        <v>2</v>
      </c>
      <c r="D365" s="6">
        <v>2.8109627547434998E-4</v>
      </c>
      <c r="E365" s="7">
        <v>2.24877020379479E-2</v>
      </c>
      <c r="G365" s="3" t="str">
        <f t="shared" si="60"/>
        <v/>
      </c>
      <c r="H365" s="3"/>
      <c r="J365" s="3" t="str">
        <f t="shared" si="61"/>
        <v/>
      </c>
      <c r="K365" s="3"/>
      <c r="M365" s="3" t="str">
        <f t="shared" si="62"/>
        <v/>
      </c>
      <c r="N365" s="3"/>
      <c r="P365" s="3" t="str">
        <f t="shared" si="63"/>
        <v/>
      </c>
      <c r="Q365" s="3"/>
      <c r="S365" s="3" t="str">
        <f t="shared" si="64"/>
        <v/>
      </c>
      <c r="T365" s="3"/>
      <c r="V365" s="3" t="str">
        <f t="shared" si="65"/>
        <v/>
      </c>
      <c r="W365" s="3"/>
      <c r="Y365" s="3" t="str">
        <f t="shared" si="66"/>
        <v/>
      </c>
      <c r="Z365" s="3"/>
      <c r="AB365" s="3" t="str">
        <f t="shared" si="67"/>
        <v/>
      </c>
      <c r="AC365" s="3"/>
      <c r="AE365" s="3">
        <f t="shared" si="68"/>
        <v>359</v>
      </c>
      <c r="AF365" s="3" t="str">
        <v>Staff:  Mix Speaker's,Inc. (Theme Song Performance (ep. 1-11))</v>
      </c>
      <c r="AH365" s="3">
        <f t="shared" si="59"/>
        <v>359</v>
      </c>
      <c r="AI365" s="3" t="str">
        <v>Staff Role: Animation Director (OP, ED, ep 12)</v>
      </c>
    </row>
    <row r="366" spans="1:35" x14ac:dyDescent="0.3">
      <c r="A366" t="s">
        <v>93</v>
      </c>
      <c r="B366" s="5">
        <v>80</v>
      </c>
      <c r="C366" s="9">
        <v>2</v>
      </c>
      <c r="D366" s="6">
        <v>2.8109627547434998E-4</v>
      </c>
      <c r="E366" s="7">
        <v>2.24877020379479E-2</v>
      </c>
      <c r="G366" s="3" t="str">
        <f t="shared" si="60"/>
        <v/>
      </c>
      <c r="H366" s="3"/>
      <c r="J366" s="3" t="str">
        <f t="shared" si="61"/>
        <v/>
      </c>
      <c r="K366" s="3"/>
      <c r="M366" s="3" t="str">
        <f t="shared" si="62"/>
        <v/>
      </c>
      <c r="N366" s="3"/>
      <c r="P366" s="3" t="str">
        <f t="shared" si="63"/>
        <v/>
      </c>
      <c r="Q366" s="3"/>
      <c r="S366" s="3" t="str">
        <f t="shared" si="64"/>
        <v/>
      </c>
      <c r="T366" s="3"/>
      <c r="V366" s="3" t="str">
        <f t="shared" si="65"/>
        <v/>
      </c>
      <c r="W366" s="3"/>
      <c r="Y366" s="3" t="str">
        <f t="shared" si="66"/>
        <v/>
      </c>
      <c r="Z366" s="3"/>
      <c r="AB366" s="3" t="str">
        <f t="shared" si="67"/>
        <v/>
      </c>
      <c r="AC366" s="3"/>
      <c r="AE366" s="3">
        <f t="shared" si="68"/>
        <v>360</v>
      </c>
      <c r="AF366" s="3" t="str">
        <v>Staff: Tetsuya Wakano (Key Animation (ep 5))</v>
      </c>
      <c r="AH366" s="3">
        <f t="shared" si="59"/>
        <v>360</v>
      </c>
      <c r="AI366" s="3" t="str">
        <v>Staff Role: Key Animation (eps 1, 2)</v>
      </c>
    </row>
    <row r="367" spans="1:35" x14ac:dyDescent="0.3">
      <c r="A367" t="s">
        <v>99</v>
      </c>
      <c r="B367" s="5">
        <v>80</v>
      </c>
      <c r="C367" s="9">
        <v>2</v>
      </c>
      <c r="D367" s="6">
        <v>2.8109627547434998E-4</v>
      </c>
      <c r="E367" s="7">
        <v>2.24877020379479E-2</v>
      </c>
      <c r="G367" s="3" t="str">
        <f t="shared" si="60"/>
        <v/>
      </c>
      <c r="H367" s="3"/>
      <c r="J367" s="3" t="str">
        <f t="shared" si="61"/>
        <v/>
      </c>
      <c r="K367" s="3"/>
      <c r="M367" s="3" t="str">
        <f t="shared" si="62"/>
        <v/>
      </c>
      <c r="N367" s="3"/>
      <c r="P367" s="3" t="str">
        <f t="shared" si="63"/>
        <v/>
      </c>
      <c r="Q367" s="3"/>
      <c r="S367" s="3" t="str">
        <f t="shared" si="64"/>
        <v/>
      </c>
      <c r="T367" s="3"/>
      <c r="V367" s="3" t="str">
        <f t="shared" si="65"/>
        <v/>
      </c>
      <c r="W367" s="3"/>
      <c r="Y367" s="3" t="str">
        <f t="shared" si="66"/>
        <v/>
      </c>
      <c r="Z367" s="3"/>
      <c r="AB367" s="3" t="str">
        <f t="shared" si="67"/>
        <v/>
      </c>
      <c r="AC367" s="3"/>
      <c r="AE367" s="3">
        <f t="shared" si="68"/>
        <v>361</v>
      </c>
      <c r="AF367" s="3" t="str">
        <v>Staff: Shintarou Inoue (Background Art)</v>
      </c>
      <c r="AH367" s="3">
        <f t="shared" si="59"/>
        <v>361</v>
      </c>
      <c r="AI367" s="3" t="str">
        <v>Staff Role: Sub-Character Design</v>
      </c>
    </row>
    <row r="368" spans="1:35" x14ac:dyDescent="0.3">
      <c r="A368" t="s">
        <v>106</v>
      </c>
      <c r="B368" s="5">
        <v>80</v>
      </c>
      <c r="C368" s="9">
        <v>2</v>
      </c>
      <c r="D368" s="6">
        <v>2.8109627547434998E-4</v>
      </c>
      <c r="E368" s="7">
        <v>2.24877020379479E-2</v>
      </c>
      <c r="G368" s="3" t="str">
        <f t="shared" si="60"/>
        <v/>
      </c>
      <c r="H368" s="3"/>
      <c r="J368" s="3" t="str">
        <f t="shared" si="61"/>
        <v/>
      </c>
      <c r="K368" s="3"/>
      <c r="M368" s="3" t="str">
        <f t="shared" si="62"/>
        <v/>
      </c>
      <c r="N368" s="3"/>
      <c r="P368" s="3" t="str">
        <f t="shared" si="63"/>
        <v/>
      </c>
      <c r="Q368" s="3"/>
      <c r="S368" s="3" t="str">
        <f t="shared" si="64"/>
        <v/>
      </c>
      <c r="T368" s="3"/>
      <c r="V368" s="3" t="str">
        <f t="shared" si="65"/>
        <v/>
      </c>
      <c r="W368" s="3"/>
      <c r="Y368" s="3" t="str">
        <f t="shared" si="66"/>
        <v/>
      </c>
      <c r="Z368" s="3"/>
      <c r="AB368" s="3" t="str">
        <f t="shared" si="67"/>
        <v/>
      </c>
      <c r="AC368" s="3"/>
      <c r="AE368" s="3">
        <f t="shared" si="68"/>
        <v>362</v>
      </c>
      <c r="AF368" s="3" t="str">
        <v>Staff: Naoko Kuwabara (Key Animation (eps 3, 8))</v>
      </c>
      <c r="AH368" s="3">
        <f t="shared" si="59"/>
        <v>362</v>
      </c>
      <c r="AI368" s="3" t="str">
        <v>Staff Role: Key Animation (OP, eps 1, 5, 7, 8, 12)</v>
      </c>
    </row>
    <row r="369" spans="1:35" x14ac:dyDescent="0.3">
      <c r="A369" t="s">
        <v>164</v>
      </c>
      <c r="B369" s="5">
        <v>80</v>
      </c>
      <c r="C369" s="9">
        <v>2</v>
      </c>
      <c r="D369" s="6">
        <v>2.8109627547434998E-4</v>
      </c>
      <c r="E369" s="7">
        <v>2.24877020379479E-2</v>
      </c>
      <c r="G369" s="3" t="str">
        <f t="shared" si="60"/>
        <v/>
      </c>
      <c r="H369" s="3"/>
      <c r="J369" s="3" t="str">
        <f t="shared" si="61"/>
        <v/>
      </c>
      <c r="K369" s="3"/>
      <c r="M369" s="3" t="str">
        <f t="shared" si="62"/>
        <v/>
      </c>
      <c r="N369" s="3"/>
      <c r="P369" s="3" t="str">
        <f t="shared" si="63"/>
        <v/>
      </c>
      <c r="Q369" s="3"/>
      <c r="S369" s="3" t="str">
        <f t="shared" si="64"/>
        <v/>
      </c>
      <c r="T369" s="3"/>
      <c r="V369" s="3" t="str">
        <f t="shared" si="65"/>
        <v/>
      </c>
      <c r="W369" s="3"/>
      <c r="Y369" s="3" t="str">
        <f t="shared" si="66"/>
        <v/>
      </c>
      <c r="Z369" s="3"/>
      <c r="AB369" s="3" t="str">
        <f t="shared" si="67"/>
        <v/>
      </c>
      <c r="AC369" s="3"/>
      <c r="AE369" s="3">
        <f t="shared" si="68"/>
        <v>363</v>
      </c>
      <c r="AF369" s="3" t="str">
        <v>Staff: Izumi Tsubaki (Original Creator)</v>
      </c>
      <c r="AH369" s="3">
        <f t="shared" si="59"/>
        <v>363</v>
      </c>
      <c r="AI369" s="3" t="str">
        <v>Staff Role: Animation Director (ep 7)</v>
      </c>
    </row>
    <row r="370" spans="1:35" x14ac:dyDescent="0.3">
      <c r="A370" t="s">
        <v>243</v>
      </c>
      <c r="B370" s="5">
        <v>80</v>
      </c>
      <c r="C370" s="9">
        <v>2</v>
      </c>
      <c r="D370" s="6">
        <v>2.8109627547434998E-4</v>
      </c>
      <c r="E370" s="7">
        <v>2.24877020379479E-2</v>
      </c>
      <c r="G370" s="3" t="str">
        <f t="shared" si="60"/>
        <v/>
      </c>
      <c r="H370" s="3"/>
      <c r="J370" s="3" t="str">
        <f t="shared" si="61"/>
        <v/>
      </c>
      <c r="K370" s="3"/>
      <c r="M370" s="3" t="str">
        <f t="shared" si="62"/>
        <v/>
      </c>
      <c r="N370" s="3"/>
      <c r="P370" s="3" t="str">
        <f t="shared" si="63"/>
        <v/>
      </c>
      <c r="Q370" s="3"/>
      <c r="S370" s="3" t="str">
        <f t="shared" si="64"/>
        <v/>
      </c>
      <c r="T370" s="3"/>
      <c r="V370" s="3" t="str">
        <f t="shared" si="65"/>
        <v/>
      </c>
      <c r="W370" s="3"/>
      <c r="Y370" s="3" t="str">
        <f t="shared" si="66"/>
        <v/>
      </c>
      <c r="Z370" s="3"/>
      <c r="AB370" s="3" t="str">
        <f t="shared" si="67"/>
        <v/>
      </c>
      <c r="AC370" s="3"/>
      <c r="AE370" s="3">
        <f t="shared" si="68"/>
        <v>364</v>
      </c>
      <c r="AF370" s="3" t="str">
        <v>Staff: Masayoshi Ooishi (Theme Song Performance (OP))</v>
      </c>
      <c r="AH370" s="3">
        <f t="shared" si="59"/>
        <v>364</v>
      </c>
      <c r="AI370" s="3" t="str">
        <v>Staff Role: Animation Director (eps 2, 6)</v>
      </c>
    </row>
    <row r="371" spans="1:35" x14ac:dyDescent="0.3">
      <c r="A371" t="s">
        <v>303</v>
      </c>
      <c r="B371" s="5">
        <v>80</v>
      </c>
      <c r="C371" s="9">
        <v>2</v>
      </c>
      <c r="D371" s="6">
        <v>2.8109627547434998E-4</v>
      </c>
      <c r="E371" s="7">
        <v>2.24877020379479E-2</v>
      </c>
      <c r="G371" s="3" t="str">
        <f t="shared" si="60"/>
        <v/>
      </c>
      <c r="H371" s="3"/>
      <c r="J371" s="3" t="str">
        <f t="shared" si="61"/>
        <v/>
      </c>
      <c r="K371" s="3"/>
      <c r="M371" s="3" t="str">
        <f t="shared" si="62"/>
        <v/>
      </c>
      <c r="N371" s="3"/>
      <c r="P371" s="3" t="str">
        <f t="shared" si="63"/>
        <v/>
      </c>
      <c r="Q371" s="3"/>
      <c r="S371" s="3" t="str">
        <f t="shared" si="64"/>
        <v/>
      </c>
      <c r="T371" s="3"/>
      <c r="V371" s="3" t="str">
        <f t="shared" si="65"/>
        <v/>
      </c>
      <c r="W371" s="3"/>
      <c r="Y371" s="3" t="str">
        <f t="shared" si="66"/>
        <v/>
      </c>
      <c r="Z371" s="3"/>
      <c r="AB371" s="3" t="str">
        <f t="shared" si="67"/>
        <v/>
      </c>
      <c r="AC371" s="3"/>
      <c r="AE371" s="3">
        <f t="shared" si="68"/>
        <v>365</v>
      </c>
      <c r="AF371" s="3" t="str">
        <v>Staff: Hiroshi Matsumoto (Planning)</v>
      </c>
      <c r="AH371" s="3">
        <f t="shared" si="59"/>
        <v>365</v>
      </c>
      <c r="AI371" s="3" t="str">
        <v>Staff Role: Fishing Gear Prop Design</v>
      </c>
    </row>
    <row r="372" spans="1:35" x14ac:dyDescent="0.3">
      <c r="A372" t="s">
        <v>340</v>
      </c>
      <c r="B372" s="5">
        <v>80</v>
      </c>
      <c r="C372" s="9">
        <v>2</v>
      </c>
      <c r="D372" s="6">
        <v>2.8109627547434998E-4</v>
      </c>
      <c r="E372" s="7">
        <v>2.24877020379479E-2</v>
      </c>
      <c r="G372" s="3" t="str">
        <f t="shared" si="60"/>
        <v/>
      </c>
      <c r="H372" s="3"/>
      <c r="J372" s="3" t="str">
        <f t="shared" si="61"/>
        <v/>
      </c>
      <c r="K372" s="3"/>
      <c r="M372" s="3" t="str">
        <f t="shared" si="62"/>
        <v/>
      </c>
      <c r="N372" s="3"/>
      <c r="P372" s="3" t="str">
        <f t="shared" si="63"/>
        <v/>
      </c>
      <c r="Q372" s="3"/>
      <c r="S372" s="3" t="str">
        <f t="shared" si="64"/>
        <v/>
      </c>
      <c r="T372" s="3"/>
      <c r="V372" s="3" t="str">
        <f t="shared" si="65"/>
        <v/>
      </c>
      <c r="W372" s="3"/>
      <c r="Y372" s="3" t="str">
        <f t="shared" si="66"/>
        <v/>
      </c>
      <c r="Z372" s="3"/>
      <c r="AB372" s="3" t="str">
        <f t="shared" si="67"/>
        <v/>
      </c>
      <c r="AC372" s="3"/>
      <c r="AE372" s="3">
        <f t="shared" si="68"/>
        <v>366</v>
      </c>
      <c r="AF372" s="3" t="str">
        <v>Staff: Manamu Amasaki (Prop Design)</v>
      </c>
      <c r="AH372" s="3">
        <f t="shared" si="59"/>
        <v>366</v>
      </c>
      <c r="AI372" s="3" t="str">
        <v>Staff Role: Theme Song Composition (OP, ED)</v>
      </c>
    </row>
    <row r="373" spans="1:35" x14ac:dyDescent="0.3">
      <c r="A373" t="s">
        <v>349</v>
      </c>
      <c r="B373" s="5">
        <v>80</v>
      </c>
      <c r="C373" s="9">
        <v>2</v>
      </c>
      <c r="D373" s="6">
        <v>2.8109627547434998E-4</v>
      </c>
      <c r="E373" s="7">
        <v>2.24877020379479E-2</v>
      </c>
      <c r="G373" s="3" t="str">
        <f t="shared" si="60"/>
        <v/>
      </c>
      <c r="H373" s="3"/>
      <c r="J373" s="3" t="str">
        <f t="shared" si="61"/>
        <v/>
      </c>
      <c r="K373" s="3"/>
      <c r="M373" s="3" t="str">
        <f t="shared" si="62"/>
        <v/>
      </c>
      <c r="N373" s="3"/>
      <c r="P373" s="3" t="str">
        <f t="shared" si="63"/>
        <v/>
      </c>
      <c r="Q373" s="3"/>
      <c r="S373" s="3" t="str">
        <f t="shared" si="64"/>
        <v/>
      </c>
      <c r="T373" s="3"/>
      <c r="V373" s="3" t="str">
        <f t="shared" si="65"/>
        <v/>
      </c>
      <c r="W373" s="3"/>
      <c r="Y373" s="3" t="str">
        <f t="shared" si="66"/>
        <v/>
      </c>
      <c r="Z373" s="3"/>
      <c r="AB373" s="3" t="str">
        <f t="shared" si="67"/>
        <v/>
      </c>
      <c r="AC373" s="3"/>
      <c r="AE373" s="3">
        <f t="shared" si="68"/>
        <v>367</v>
      </c>
      <c r="AF373" s="3" t="str">
        <v>Staff: Tsutomu Kashimura (Planning)</v>
      </c>
      <c r="AH373" s="3">
        <f t="shared" si="59"/>
        <v>367</v>
      </c>
      <c r="AI373" s="3" t="str">
        <v>Staff Role: Chief Animation Director (eps 2, 5, 7, 9-11)</v>
      </c>
    </row>
    <row r="374" spans="1:35" x14ac:dyDescent="0.3">
      <c r="A374" t="s">
        <v>403</v>
      </c>
      <c r="B374" s="5">
        <v>80</v>
      </c>
      <c r="C374" s="9">
        <v>2</v>
      </c>
      <c r="D374" s="6">
        <v>2.8109627547434998E-4</v>
      </c>
      <c r="E374" s="7">
        <v>2.24877020379479E-2</v>
      </c>
      <c r="G374" s="3" t="str">
        <f t="shared" si="60"/>
        <v/>
      </c>
      <c r="H374" s="3"/>
      <c r="J374" s="3" t="str">
        <f t="shared" si="61"/>
        <v/>
      </c>
      <c r="K374" s="3"/>
      <c r="M374" s="3" t="str">
        <f t="shared" si="62"/>
        <v/>
      </c>
      <c r="N374" s="3"/>
      <c r="P374" s="3" t="str">
        <f t="shared" si="63"/>
        <v/>
      </c>
      <c r="Q374" s="3"/>
      <c r="S374" s="3" t="str">
        <f t="shared" si="64"/>
        <v/>
      </c>
      <c r="T374" s="3"/>
      <c r="V374" s="3" t="str">
        <f t="shared" si="65"/>
        <v/>
      </c>
      <c r="W374" s="3"/>
      <c r="Y374" s="3" t="str">
        <f t="shared" si="66"/>
        <v/>
      </c>
      <c r="Z374" s="3"/>
      <c r="AB374" s="3" t="str">
        <f t="shared" si="67"/>
        <v/>
      </c>
      <c r="AC374" s="3"/>
      <c r="AE374" s="3">
        <f t="shared" si="68"/>
        <v>368</v>
      </c>
      <c r="AF374" s="3" t="str">
        <v>Staff: Kouji Taguchi (Planning)</v>
      </c>
      <c r="AH374" s="3">
        <f t="shared" si="59"/>
        <v>368</v>
      </c>
      <c r="AI374" s="3" t="str">
        <v>Staff Role: Chief Animation Director (eps 7, 11)</v>
      </c>
    </row>
    <row r="375" spans="1:35" x14ac:dyDescent="0.3">
      <c r="A375" t="s">
        <v>507</v>
      </c>
      <c r="B375" s="5">
        <v>80</v>
      </c>
      <c r="C375" s="9">
        <v>2</v>
      </c>
      <c r="D375" s="6">
        <v>2.8109627547434998E-4</v>
      </c>
      <c r="E375" s="7">
        <v>2.24877020379479E-2</v>
      </c>
      <c r="G375" s="3" t="str">
        <f t="shared" si="60"/>
        <v/>
      </c>
      <c r="H375" s="3"/>
      <c r="J375" s="3" t="str">
        <f t="shared" si="61"/>
        <v/>
      </c>
      <c r="K375" s="3"/>
      <c r="M375" s="3" t="str">
        <f t="shared" si="62"/>
        <v/>
      </c>
      <c r="N375" s="3"/>
      <c r="P375" s="3" t="str">
        <f t="shared" si="63"/>
        <v/>
      </c>
      <c r="Q375" s="3"/>
      <c r="S375" s="3" t="str">
        <f t="shared" si="64"/>
        <v/>
      </c>
      <c r="T375" s="3"/>
      <c r="V375" s="3" t="str">
        <f t="shared" si="65"/>
        <v/>
      </c>
      <c r="W375" s="3"/>
      <c r="Y375" s="3" t="str">
        <f t="shared" si="66"/>
        <v/>
      </c>
      <c r="Z375" s="3"/>
      <c r="AB375" s="3" t="str">
        <f t="shared" si="67"/>
        <v/>
      </c>
      <c r="AC375" s="3"/>
      <c r="AE375" s="3">
        <f t="shared" si="68"/>
        <v>369</v>
      </c>
      <c r="AF375" s="3" t="str">
        <v>Staff: Risuke Hiraoka (Planning)</v>
      </c>
      <c r="AH375" s="3">
        <f t="shared" si="59"/>
        <v>369</v>
      </c>
      <c r="AI375" s="3" t="str">
        <v>Staff Role: Chief Animation Director (eps 3, 6, 7, 9-11)</v>
      </c>
    </row>
    <row r="376" spans="1:35" x14ac:dyDescent="0.3">
      <c r="A376" t="s">
        <v>545</v>
      </c>
      <c r="B376" s="5">
        <v>80</v>
      </c>
      <c r="C376" s="9">
        <v>2</v>
      </c>
      <c r="D376" s="6">
        <v>2.8109627547434998E-4</v>
      </c>
      <c r="E376" s="7">
        <v>2.24877020379479E-2</v>
      </c>
      <c r="G376" s="3" t="str">
        <f t="shared" si="60"/>
        <v/>
      </c>
      <c r="H376" s="3"/>
      <c r="J376" s="3" t="str">
        <f t="shared" si="61"/>
        <v/>
      </c>
      <c r="K376" s="3"/>
      <c r="M376" s="3" t="str">
        <f t="shared" si="62"/>
        <v/>
      </c>
      <c r="N376" s="3"/>
      <c r="P376" s="3" t="str">
        <f t="shared" si="63"/>
        <v/>
      </c>
      <c r="Q376" s="3"/>
      <c r="S376" s="3" t="str">
        <f t="shared" si="64"/>
        <v/>
      </c>
      <c r="T376" s="3"/>
      <c r="V376" s="3" t="str">
        <f t="shared" si="65"/>
        <v/>
      </c>
      <c r="W376" s="3"/>
      <c r="Y376" s="3" t="str">
        <f t="shared" si="66"/>
        <v/>
      </c>
      <c r="Z376" s="3"/>
      <c r="AB376" s="3" t="str">
        <f t="shared" si="67"/>
        <v/>
      </c>
      <c r="AC376" s="3"/>
      <c r="AE376" s="3">
        <f t="shared" si="68"/>
        <v>370</v>
      </c>
      <c r="AF376" s="3" t="str">
        <v>Staff: Ryuu Ishiguro (Planning)</v>
      </c>
      <c r="AH376" s="3">
        <f t="shared" si="59"/>
        <v>370</v>
      </c>
      <c r="AI376" s="3" t="str">
        <v>Staff Role: Chief Animation Director (eps 1, 4, 8-11)</v>
      </c>
    </row>
    <row r="377" spans="1:35" x14ac:dyDescent="0.3">
      <c r="A377" t="s">
        <v>546</v>
      </c>
      <c r="B377" s="5">
        <v>80</v>
      </c>
      <c r="C377" s="9">
        <v>2</v>
      </c>
      <c r="D377" s="6">
        <v>2.8109627547434998E-4</v>
      </c>
      <c r="E377" s="7">
        <v>2.24877020379479E-2</v>
      </c>
      <c r="G377" s="3" t="str">
        <f t="shared" si="60"/>
        <v/>
      </c>
      <c r="H377" s="3"/>
      <c r="J377" s="3" t="str">
        <f t="shared" si="61"/>
        <v/>
      </c>
      <c r="K377" s="3"/>
      <c r="M377" s="3" t="str">
        <f t="shared" si="62"/>
        <v/>
      </c>
      <c r="N377" s="3"/>
      <c r="P377" s="3" t="str">
        <f t="shared" si="63"/>
        <v/>
      </c>
      <c r="Q377" s="3"/>
      <c r="S377" s="3" t="str">
        <f t="shared" si="64"/>
        <v/>
      </c>
      <c r="T377" s="3"/>
      <c r="V377" s="3" t="str">
        <f t="shared" si="65"/>
        <v/>
      </c>
      <c r="W377" s="3"/>
      <c r="Y377" s="3" t="str">
        <f t="shared" si="66"/>
        <v/>
      </c>
      <c r="Z377" s="3"/>
      <c r="AB377" s="3" t="str">
        <f t="shared" si="67"/>
        <v/>
      </c>
      <c r="AC377" s="3"/>
      <c r="AE377" s="3">
        <f t="shared" si="68"/>
        <v>371</v>
      </c>
      <c r="AF377" s="3" t="str">
        <v>Staff: Ryouhei Takeshita (Chief Episode Director)</v>
      </c>
      <c r="AH377" s="3">
        <f t="shared" si="59"/>
        <v>371</v>
      </c>
      <c r="AI377" s="3" t="str">
        <v>Staff Role: Musical Instrument Design</v>
      </c>
    </row>
    <row r="378" spans="1:35" x14ac:dyDescent="0.3">
      <c r="A378" t="s">
        <v>548</v>
      </c>
      <c r="B378" s="5">
        <v>80</v>
      </c>
      <c r="C378" s="9">
        <v>2</v>
      </c>
      <c r="D378" s="6">
        <v>2.8109627547434998E-4</v>
      </c>
      <c r="E378" s="7">
        <v>2.24877020379479E-2</v>
      </c>
      <c r="G378" s="3" t="str">
        <f t="shared" si="60"/>
        <v/>
      </c>
      <c r="H378" s="3"/>
      <c r="J378" s="3" t="str">
        <f t="shared" si="61"/>
        <v/>
      </c>
      <c r="K378" s="3"/>
      <c r="M378" s="3" t="str">
        <f t="shared" si="62"/>
        <v/>
      </c>
      <c r="N378" s="3"/>
      <c r="P378" s="3" t="str">
        <f t="shared" si="63"/>
        <v/>
      </c>
      <c r="Q378" s="3"/>
      <c r="S378" s="3" t="str">
        <f t="shared" si="64"/>
        <v/>
      </c>
      <c r="T378" s="3"/>
      <c r="V378" s="3" t="str">
        <f t="shared" si="65"/>
        <v/>
      </c>
      <c r="W378" s="3"/>
      <c r="Y378" s="3" t="str">
        <f t="shared" si="66"/>
        <v/>
      </c>
      <c r="Z378" s="3"/>
      <c r="AB378" s="3" t="str">
        <f t="shared" si="67"/>
        <v/>
      </c>
      <c r="AC378" s="3"/>
      <c r="AE378" s="3">
        <f t="shared" si="68"/>
        <v>372</v>
      </c>
      <c r="AF378" s="3" t="str">
        <v>Staff: Junichirou Taniguchi (Chief Animation Director (eps 1-12))</v>
      </c>
      <c r="AH378" s="3">
        <f t="shared" si="59"/>
        <v>372</v>
      </c>
      <c r="AI378" s="3" t="str">
        <v>Staff Role: Musical Instrument Animation Director</v>
      </c>
    </row>
    <row r="379" spans="1:35" x14ac:dyDescent="0.3">
      <c r="A379" t="s">
        <v>581</v>
      </c>
      <c r="B379" s="5">
        <v>80</v>
      </c>
      <c r="C379" s="9">
        <v>2</v>
      </c>
      <c r="D379" s="6">
        <v>2.8109627547434998E-4</v>
      </c>
      <c r="E379" s="7">
        <v>2.24877020379479E-2</v>
      </c>
      <c r="G379" s="3" t="str">
        <f t="shared" si="60"/>
        <v/>
      </c>
      <c r="H379" s="3"/>
      <c r="J379" s="3" t="str">
        <f t="shared" si="61"/>
        <v/>
      </c>
      <c r="K379" s="3"/>
      <c r="M379" s="3" t="str">
        <f t="shared" si="62"/>
        <v/>
      </c>
      <c r="N379" s="3"/>
      <c r="P379" s="3" t="str">
        <f t="shared" si="63"/>
        <v/>
      </c>
      <c r="Q379" s="3"/>
      <c r="S379" s="3" t="str">
        <f t="shared" si="64"/>
        <v/>
      </c>
      <c r="T379" s="3"/>
      <c r="V379" s="3" t="str">
        <f t="shared" si="65"/>
        <v/>
      </c>
      <c r="W379" s="3"/>
      <c r="Y379" s="3" t="str">
        <f t="shared" si="66"/>
        <v/>
      </c>
      <c r="Z379" s="3"/>
      <c r="AB379" s="3" t="str">
        <f t="shared" si="67"/>
        <v/>
      </c>
      <c r="AC379" s="3"/>
      <c r="AE379" s="3">
        <f t="shared" si="68"/>
        <v>373</v>
      </c>
      <c r="AF379" s="3" t="str">
        <v>Staff: Nana Kikuchi (Insert Manga Production)</v>
      </c>
      <c r="AH379" s="3">
        <f t="shared" si="59"/>
        <v>373</v>
      </c>
      <c r="AI379" s="3" t="str">
        <v>Staff Role: Theme Song Arrangment (ED)</v>
      </c>
    </row>
    <row r="380" spans="1:35" x14ac:dyDescent="0.3">
      <c r="A380" t="s">
        <v>589</v>
      </c>
      <c r="B380" s="5">
        <v>80</v>
      </c>
      <c r="C380" s="9">
        <v>2</v>
      </c>
      <c r="D380" s="6">
        <v>2.8109627547434998E-4</v>
      </c>
      <c r="E380" s="7">
        <v>2.24877020379479E-2</v>
      </c>
      <c r="G380" s="3" t="str">
        <f t="shared" si="60"/>
        <v/>
      </c>
      <c r="H380" s="3"/>
      <c r="J380" s="3" t="str">
        <f t="shared" si="61"/>
        <v/>
      </c>
      <c r="K380" s="3"/>
      <c r="M380" s="3" t="str">
        <f t="shared" si="62"/>
        <v/>
      </c>
      <c r="N380" s="3"/>
      <c r="P380" s="3" t="str">
        <f t="shared" si="63"/>
        <v/>
      </c>
      <c r="Q380" s="3"/>
      <c r="S380" s="3" t="str">
        <f t="shared" si="64"/>
        <v/>
      </c>
      <c r="T380" s="3"/>
      <c r="V380" s="3" t="str">
        <f t="shared" si="65"/>
        <v/>
      </c>
      <c r="W380" s="3"/>
      <c r="Y380" s="3" t="str">
        <f t="shared" si="66"/>
        <v/>
      </c>
      <c r="Z380" s="3"/>
      <c r="AB380" s="3" t="str">
        <f t="shared" si="67"/>
        <v/>
      </c>
      <c r="AC380" s="3"/>
      <c r="AE380" s="3">
        <f t="shared" si="68"/>
        <v>374</v>
      </c>
      <c r="AF380" s="3" t="str">
        <v>Staff: Masatoshi Ishizuka (Producer)</v>
      </c>
      <c r="AH380" s="3">
        <f t="shared" si="59"/>
        <v>374</v>
      </c>
      <c r="AI380" s="3" t="str">
        <v>Staff Role: Insert Song Performance (eps 6, 8, 12)</v>
      </c>
    </row>
    <row r="381" spans="1:35" x14ac:dyDescent="0.3">
      <c r="A381" t="s">
        <v>602</v>
      </c>
      <c r="B381" s="5">
        <v>80</v>
      </c>
      <c r="C381" s="9">
        <v>2</v>
      </c>
      <c r="D381" s="6">
        <v>2.8109627547434998E-4</v>
      </c>
      <c r="E381" s="7">
        <v>2.24877020379479E-2</v>
      </c>
      <c r="G381" s="3" t="str">
        <f t="shared" si="60"/>
        <v/>
      </c>
      <c r="H381" s="3"/>
      <c r="J381" s="3" t="str">
        <f t="shared" si="61"/>
        <v/>
      </c>
      <c r="K381" s="3"/>
      <c r="M381" s="3" t="str">
        <f t="shared" si="62"/>
        <v/>
      </c>
      <c r="N381" s="3"/>
      <c r="P381" s="3" t="str">
        <f t="shared" si="63"/>
        <v/>
      </c>
      <c r="Q381" s="3"/>
      <c r="S381" s="3" t="str">
        <f t="shared" si="64"/>
        <v/>
      </c>
      <c r="T381" s="3"/>
      <c r="V381" s="3" t="str">
        <f t="shared" si="65"/>
        <v/>
      </c>
      <c r="W381" s="3"/>
      <c r="Y381" s="3" t="str">
        <f t="shared" si="66"/>
        <v/>
      </c>
      <c r="Z381" s="3"/>
      <c r="AB381" s="3" t="str">
        <f t="shared" si="67"/>
        <v/>
      </c>
      <c r="AC381" s="3"/>
      <c r="AE381" s="3">
        <f t="shared" si="68"/>
        <v>375</v>
      </c>
      <c r="AF381" s="3" t="str">
        <v>Staff: Yoshikazu Beniya (Producer)</v>
      </c>
      <c r="AH381" s="3">
        <f t="shared" si="59"/>
        <v>375</v>
      </c>
      <c r="AI381" s="3" t="str">
        <v>Staff Role: ADR Scriptwriter (English)</v>
      </c>
    </row>
    <row r="382" spans="1:35" x14ac:dyDescent="0.3">
      <c r="A382" t="s">
        <v>657</v>
      </c>
      <c r="B382" s="5">
        <v>80</v>
      </c>
      <c r="C382" s="9">
        <v>2</v>
      </c>
      <c r="D382" s="6">
        <v>2.8109627547434998E-4</v>
      </c>
      <c r="E382" s="7">
        <v>2.24877020379479E-2</v>
      </c>
      <c r="G382" s="3" t="str">
        <f t="shared" si="60"/>
        <v/>
      </c>
      <c r="H382" s="3"/>
      <c r="J382" s="3" t="str">
        <f t="shared" si="61"/>
        <v/>
      </c>
      <c r="K382" s="3"/>
      <c r="M382" s="3" t="str">
        <f t="shared" si="62"/>
        <v/>
      </c>
      <c r="N382" s="3"/>
      <c r="P382" s="3" t="str">
        <f t="shared" si="63"/>
        <v/>
      </c>
      <c r="Q382" s="3"/>
      <c r="S382" s="3" t="str">
        <f t="shared" si="64"/>
        <v/>
      </c>
      <c r="T382" s="3"/>
      <c r="V382" s="3" t="str">
        <f t="shared" si="65"/>
        <v/>
      </c>
      <c r="W382" s="3"/>
      <c r="Y382" s="3" t="str">
        <f t="shared" si="66"/>
        <v/>
      </c>
      <c r="Z382" s="3"/>
      <c r="AB382" s="3" t="str">
        <f t="shared" si="67"/>
        <v/>
      </c>
      <c r="AC382" s="3"/>
      <c r="AE382" s="3">
        <f t="shared" si="68"/>
        <v>376</v>
      </c>
      <c r="AF382" s="3" t="str">
        <v>Staff: Gou Wakabayashi (Music Producer)</v>
      </c>
      <c r="AH382" s="3">
        <f t="shared" si="59"/>
        <v>376</v>
      </c>
      <c r="AI382" s="3" t="str">
        <v>Staff Role: Insert Song Composition (eps 15, 23)</v>
      </c>
    </row>
    <row r="383" spans="1:35" x14ac:dyDescent="0.3">
      <c r="A383" t="s">
        <v>694</v>
      </c>
      <c r="B383" s="5">
        <v>80</v>
      </c>
      <c r="C383" s="9">
        <v>2</v>
      </c>
      <c r="D383" s="6">
        <v>2.8109627547434998E-4</v>
      </c>
      <c r="E383" s="7">
        <v>2.24877020379479E-2</v>
      </c>
      <c r="G383" s="3" t="str">
        <f t="shared" si="60"/>
        <v/>
      </c>
      <c r="H383" s="3"/>
      <c r="J383" s="3" t="str">
        <f t="shared" si="61"/>
        <v/>
      </c>
      <c r="K383" s="3"/>
      <c r="M383" s="3" t="str">
        <f t="shared" si="62"/>
        <v/>
      </c>
      <c r="N383" s="3"/>
      <c r="P383" s="3" t="str">
        <f t="shared" si="63"/>
        <v/>
      </c>
      <c r="Q383" s="3"/>
      <c r="S383" s="3" t="str">
        <f t="shared" si="64"/>
        <v/>
      </c>
      <c r="T383" s="3"/>
      <c r="V383" s="3" t="str">
        <f t="shared" si="65"/>
        <v/>
      </c>
      <c r="W383" s="3"/>
      <c r="Y383" s="3" t="str">
        <f t="shared" si="66"/>
        <v/>
      </c>
      <c r="Z383" s="3"/>
      <c r="AB383" s="3" t="str">
        <f t="shared" si="67"/>
        <v/>
      </c>
      <c r="AC383" s="3"/>
      <c r="AE383" s="3">
        <f t="shared" si="68"/>
        <v>377</v>
      </c>
      <c r="AF383" s="3" t="str">
        <v>Staff: Shou Tanaka (Producer)</v>
      </c>
      <c r="AH383" s="3">
        <f t="shared" si="59"/>
        <v>377</v>
      </c>
      <c r="AI383" s="3" t="str">
        <v>Staff Role: Sub Character Design (eps 14, 20)</v>
      </c>
    </row>
    <row r="384" spans="1:35" x14ac:dyDescent="0.3">
      <c r="A384" t="s">
        <v>726</v>
      </c>
      <c r="B384" s="5">
        <v>80</v>
      </c>
      <c r="C384" s="9">
        <v>2</v>
      </c>
      <c r="D384" s="6">
        <v>2.8109627547434998E-4</v>
      </c>
      <c r="E384" s="7">
        <v>2.24877020379479E-2</v>
      </c>
      <c r="G384" s="3" t="str">
        <f t="shared" si="60"/>
        <v/>
      </c>
      <c r="H384" s="3"/>
      <c r="J384" s="3" t="str">
        <f t="shared" si="61"/>
        <v/>
      </c>
      <c r="K384" s="3"/>
      <c r="M384" s="3" t="str">
        <f t="shared" si="62"/>
        <v/>
      </c>
      <c r="N384" s="3"/>
      <c r="P384" s="3" t="str">
        <f t="shared" si="63"/>
        <v/>
      </c>
      <c r="Q384" s="3"/>
      <c r="S384" s="3" t="str">
        <f t="shared" si="64"/>
        <v/>
      </c>
      <c r="T384" s="3"/>
      <c r="V384" s="3" t="str">
        <f t="shared" si="65"/>
        <v/>
      </c>
      <c r="W384" s="3"/>
      <c r="Y384" s="3" t="str">
        <f t="shared" si="66"/>
        <v/>
      </c>
      <c r="Z384" s="3"/>
      <c r="AB384" s="3" t="str">
        <f t="shared" si="67"/>
        <v/>
      </c>
      <c r="AC384" s="3"/>
      <c r="AE384" s="3">
        <f t="shared" si="68"/>
        <v>378</v>
      </c>
      <c r="AF384" s="3" t="str">
        <v>Staff: Kou Matsuo (Sound Director)</v>
      </c>
      <c r="AH384" s="3">
        <f t="shared" si="59"/>
        <v>378</v>
      </c>
      <c r="AI384" s="3" t="str">
        <v>Staff Role: Sub Character Design (ep 17)</v>
      </c>
    </row>
    <row r="385" spans="1:35" x14ac:dyDescent="0.3">
      <c r="A385" t="s">
        <v>806</v>
      </c>
      <c r="B385" s="5">
        <v>80</v>
      </c>
      <c r="C385" s="9">
        <v>2</v>
      </c>
      <c r="D385" s="6">
        <v>2.8109627547434998E-4</v>
      </c>
      <c r="E385" s="7">
        <v>2.24877020379479E-2</v>
      </c>
      <c r="G385" s="3" t="str">
        <f t="shared" si="60"/>
        <v/>
      </c>
      <c r="H385" s="3"/>
      <c r="J385" s="3" t="str">
        <f t="shared" si="61"/>
        <v/>
      </c>
      <c r="K385" s="3"/>
      <c r="M385" s="3" t="str">
        <f t="shared" si="62"/>
        <v/>
      </c>
      <c r="N385" s="3"/>
      <c r="P385" s="3" t="str">
        <f t="shared" si="63"/>
        <v/>
      </c>
      <c r="Q385" s="3"/>
      <c r="S385" s="3" t="str">
        <f t="shared" si="64"/>
        <v/>
      </c>
      <c r="T385" s="3"/>
      <c r="V385" s="3" t="str">
        <f t="shared" si="65"/>
        <v/>
      </c>
      <c r="W385" s="3"/>
      <c r="Y385" s="3" t="str">
        <f t="shared" si="66"/>
        <v/>
      </c>
      <c r="Z385" s="3"/>
      <c r="AB385" s="3" t="str">
        <f t="shared" si="67"/>
        <v/>
      </c>
      <c r="AC385" s="3"/>
      <c r="AE385" s="3">
        <f t="shared" si="68"/>
        <v>379</v>
      </c>
      <c r="AF385" s="3" t="str">
        <v>Staff: Hajime Kamata (Producer)</v>
      </c>
      <c r="AH385" s="3">
        <f t="shared" si="59"/>
        <v>379</v>
      </c>
      <c r="AI385" s="3" t="str">
        <v>Staff Role: Assistant Director (eps 10, 13, 16, 22)</v>
      </c>
    </row>
    <row r="386" spans="1:35" x14ac:dyDescent="0.3">
      <c r="A386" t="s">
        <v>974</v>
      </c>
      <c r="B386" s="5">
        <v>80</v>
      </c>
      <c r="C386" s="9">
        <v>2</v>
      </c>
      <c r="D386" s="6">
        <v>2.8109627547434998E-4</v>
      </c>
      <c r="E386" s="7">
        <v>2.24877020379479E-2</v>
      </c>
      <c r="G386" s="3" t="str">
        <f t="shared" si="60"/>
        <v/>
      </c>
      <c r="H386" s="3"/>
      <c r="J386" s="3" t="str">
        <f t="shared" si="61"/>
        <v/>
      </c>
      <c r="K386" s="3"/>
      <c r="M386" s="3" t="str">
        <f t="shared" si="62"/>
        <v/>
      </c>
      <c r="N386" s="3"/>
      <c r="P386" s="3" t="str">
        <f t="shared" si="63"/>
        <v/>
      </c>
      <c r="Q386" s="3"/>
      <c r="S386" s="3" t="str">
        <f t="shared" si="64"/>
        <v/>
      </c>
      <c r="T386" s="3"/>
      <c r="V386" s="3" t="str">
        <f t="shared" si="65"/>
        <v/>
      </c>
      <c r="W386" s="3"/>
      <c r="Y386" s="3" t="str">
        <f t="shared" si="66"/>
        <v/>
      </c>
      <c r="Z386" s="3"/>
      <c r="AB386" s="3" t="str">
        <f t="shared" si="67"/>
        <v/>
      </c>
      <c r="AC386" s="3"/>
      <c r="AE386" s="3">
        <f t="shared" si="68"/>
        <v>380</v>
      </c>
      <c r="AF386" s="3" t="str">
        <v>Staff: Junichirou Taniguchi (Character Design)</v>
      </c>
      <c r="AH386" s="3">
        <f t="shared" si="59"/>
        <v>380</v>
      </c>
      <c r="AI386" s="3" t="str">
        <v>Staff Role: Sub Character Design (eps 11, 15, 18, 22)</v>
      </c>
    </row>
    <row r="387" spans="1:35" x14ac:dyDescent="0.3">
      <c r="A387" t="s">
        <v>989</v>
      </c>
      <c r="B387" s="5">
        <v>80</v>
      </c>
      <c r="C387" s="9">
        <v>2</v>
      </c>
      <c r="D387" s="6">
        <v>2.8109627547434998E-4</v>
      </c>
      <c r="E387" s="7">
        <v>2.24877020379479E-2</v>
      </c>
      <c r="G387" s="3" t="str">
        <f t="shared" si="60"/>
        <v/>
      </c>
      <c r="H387" s="3"/>
      <c r="J387" s="3" t="str">
        <f t="shared" si="61"/>
        <v/>
      </c>
      <c r="K387" s="3"/>
      <c r="M387" s="3" t="str">
        <f t="shared" si="62"/>
        <v/>
      </c>
      <c r="N387" s="3"/>
      <c r="P387" s="3" t="str">
        <f t="shared" si="63"/>
        <v/>
      </c>
      <c r="Q387" s="3"/>
      <c r="S387" s="3" t="str">
        <f t="shared" si="64"/>
        <v/>
      </c>
      <c r="T387" s="3"/>
      <c r="V387" s="3" t="str">
        <f t="shared" si="65"/>
        <v/>
      </c>
      <c r="W387" s="3"/>
      <c r="Y387" s="3" t="str">
        <f t="shared" si="66"/>
        <v/>
      </c>
      <c r="Z387" s="3"/>
      <c r="AB387" s="3" t="str">
        <f t="shared" si="67"/>
        <v/>
      </c>
      <c r="AC387" s="3"/>
      <c r="AE387" s="3">
        <f t="shared" si="68"/>
        <v>381</v>
      </c>
      <c r="AF387" s="3" t="str">
        <v>Staff: Satoru Noda (Original Creator)</v>
      </c>
      <c r="AH387" s="3">
        <f t="shared" si="59"/>
        <v>381</v>
      </c>
      <c r="AI387" s="3" t="str">
        <v>Staff Role: Chief Animation Director (ep 5)</v>
      </c>
    </row>
    <row r="388" spans="1:35" x14ac:dyDescent="0.3">
      <c r="A388" t="str">
        <f>HYPERLINK("https://anilist.co/staff/110655","Staff: Yuuko Kakihara (Series Composition)")</f>
        <v>Staff: Yuuko Kakihara (Series Composition)</v>
      </c>
      <c r="B388" s="5">
        <v>80</v>
      </c>
      <c r="C388" s="9">
        <v>2</v>
      </c>
      <c r="D388" s="6">
        <v>2.8109627547434998E-4</v>
      </c>
      <c r="E388" s="7">
        <v>2.24877020379479E-2</v>
      </c>
      <c r="G388" s="3" t="str">
        <f t="shared" si="60"/>
        <v/>
      </c>
      <c r="H388" s="3"/>
      <c r="J388" s="3" t="str">
        <f t="shared" si="61"/>
        <v/>
      </c>
      <c r="K388" s="3"/>
      <c r="M388" s="3" t="str">
        <f t="shared" si="62"/>
        <v/>
      </c>
      <c r="N388" s="3"/>
      <c r="P388" s="3" t="str">
        <f t="shared" si="63"/>
        <v/>
      </c>
      <c r="Q388" s="3"/>
      <c r="S388" s="3" t="str">
        <f t="shared" si="64"/>
        <v/>
      </c>
      <c r="T388" s="3"/>
      <c r="V388" s="3" t="str">
        <f t="shared" si="65"/>
        <v/>
      </c>
      <c r="W388" s="3"/>
      <c r="Y388" s="3" t="str">
        <f t="shared" si="66"/>
        <v/>
      </c>
      <c r="Z388" s="3"/>
      <c r="AB388" s="3" t="str">
        <f t="shared" si="67"/>
        <v/>
      </c>
      <c r="AC388" s="3"/>
      <c r="AE388" s="3">
        <f t="shared" si="68"/>
        <v>382</v>
      </c>
      <c r="AF388" s="3" t="str">
        <v>Staff: Kouji Watanabe (Prop Design)</v>
      </c>
      <c r="AH388" s="3">
        <f t="shared" si="59"/>
        <v>382</v>
      </c>
      <c r="AI388" s="3" t="str">
        <v>Staff Role: Script (eps 4, 7, 9, 11)</v>
      </c>
    </row>
    <row r="389" spans="1:35" x14ac:dyDescent="0.3">
      <c r="A389" t="str">
        <f>HYPERLINK("https://anilist.co/staff/100304","Staff: Kenji Kawai (Music)")</f>
        <v>Staff: Kenji Kawai (Music)</v>
      </c>
      <c r="B389" s="5">
        <v>80</v>
      </c>
      <c r="C389" s="9">
        <v>2</v>
      </c>
      <c r="D389" s="6">
        <v>2.8109627547434998E-4</v>
      </c>
      <c r="E389" s="7">
        <v>2.24877020379479E-2</v>
      </c>
      <c r="G389" s="3" t="str">
        <f t="shared" si="60"/>
        <v/>
      </c>
      <c r="H389" s="3"/>
      <c r="J389" s="3" t="str">
        <f t="shared" si="61"/>
        <v/>
      </c>
      <c r="K389" s="3"/>
      <c r="M389" s="3" t="str">
        <f t="shared" si="62"/>
        <v/>
      </c>
      <c r="N389" s="3"/>
      <c r="P389" s="3" t="str">
        <f t="shared" si="63"/>
        <v/>
      </c>
      <c r="Q389" s="3"/>
      <c r="S389" s="3" t="str">
        <f t="shared" si="64"/>
        <v/>
      </c>
      <c r="T389" s="3"/>
      <c r="V389" s="3" t="str">
        <f t="shared" si="65"/>
        <v/>
      </c>
      <c r="W389" s="3"/>
      <c r="Y389" s="3" t="str">
        <f t="shared" si="66"/>
        <v/>
      </c>
      <c r="Z389" s="3"/>
      <c r="AB389" s="3" t="str">
        <f t="shared" si="67"/>
        <v/>
      </c>
      <c r="AC389" s="3"/>
      <c r="AE389" s="3">
        <f t="shared" si="68"/>
        <v>383</v>
      </c>
      <c r="AF389" s="3" t="str">
        <v>Staff: Hitoshi Nanba (Director)</v>
      </c>
      <c r="AH389" s="3">
        <f t="shared" si="59"/>
        <v>383</v>
      </c>
      <c r="AI389" s="3" t="str">
        <v>Staff Role: Script (eps 1-3, 8, 10, 12)</v>
      </c>
    </row>
    <row r="390" spans="1:35" x14ac:dyDescent="0.3">
      <c r="A390" t="str">
        <f>HYPERLINK("https://anilist.co/staff/95202","Staff: Mike McFarland (ADR Director (English))")</f>
        <v>Staff: Mike McFarland (ADR Director (English))</v>
      </c>
      <c r="B390" s="5">
        <v>80</v>
      </c>
      <c r="C390" s="9">
        <v>2</v>
      </c>
      <c r="D390" s="6">
        <v>2.8109627547434998E-4</v>
      </c>
      <c r="E390" s="7">
        <v>2.24877020379479E-2</v>
      </c>
      <c r="G390" s="3" t="str">
        <f t="shared" si="60"/>
        <v/>
      </c>
      <c r="H390" s="3"/>
      <c r="J390" s="3" t="str">
        <f t="shared" si="61"/>
        <v/>
      </c>
      <c r="K390" s="3"/>
      <c r="M390" s="3" t="str">
        <f t="shared" si="62"/>
        <v/>
      </c>
      <c r="N390" s="3"/>
      <c r="P390" s="3" t="str">
        <f t="shared" si="63"/>
        <v/>
      </c>
      <c r="Q390" s="3"/>
      <c r="S390" s="3" t="str">
        <f t="shared" si="64"/>
        <v/>
      </c>
      <c r="T390" s="3"/>
      <c r="V390" s="3" t="str">
        <f t="shared" si="65"/>
        <v/>
      </c>
      <c r="W390" s="3"/>
      <c r="Y390" s="3" t="str">
        <f t="shared" si="66"/>
        <v/>
      </c>
      <c r="Z390" s="3"/>
      <c r="AB390" s="3" t="str">
        <f t="shared" si="67"/>
        <v/>
      </c>
      <c r="AC390" s="3"/>
      <c r="AE390" s="3">
        <f t="shared" si="68"/>
        <v>384</v>
      </c>
      <c r="AF390" s="3" t="str">
        <v>Staff: Takahiro Mogi (Color Design)</v>
      </c>
      <c r="AH390" s="3">
        <f t="shared" si="59"/>
        <v>384</v>
      </c>
      <c r="AI390" s="3" t="str">
        <v>Staff Role: Script (eps 5-6)</v>
      </c>
    </row>
    <row r="391" spans="1:35" x14ac:dyDescent="0.3">
      <c r="A391" t="str">
        <f>HYPERLINK("https://anilist.co/staff/120066","Staff: Shouji Hata (Sound Director)")</f>
        <v>Staff: Shouji Hata (Sound Director)</v>
      </c>
      <c r="B391" s="5">
        <v>80</v>
      </c>
      <c r="C391" s="9">
        <v>2</v>
      </c>
      <c r="D391" s="6">
        <v>2.8109627547434998E-4</v>
      </c>
      <c r="E391" s="7">
        <v>2.24877020379479E-2</v>
      </c>
      <c r="G391" s="3" t="str">
        <f t="shared" si="60"/>
        <v/>
      </c>
      <c r="H391" s="3"/>
      <c r="J391" s="3" t="str">
        <f t="shared" si="61"/>
        <v/>
      </c>
      <c r="K391" s="3"/>
      <c r="M391" s="3" t="str">
        <f t="shared" si="62"/>
        <v/>
      </c>
      <c r="N391" s="3"/>
      <c r="P391" s="3" t="str">
        <f t="shared" si="63"/>
        <v/>
      </c>
      <c r="Q391" s="3"/>
      <c r="S391" s="3" t="str">
        <f t="shared" si="64"/>
        <v/>
      </c>
      <c r="T391" s="3"/>
      <c r="V391" s="3" t="str">
        <f t="shared" si="65"/>
        <v/>
      </c>
      <c r="W391" s="3"/>
      <c r="Y391" s="3" t="str">
        <f t="shared" si="66"/>
        <v/>
      </c>
      <c r="Z391" s="3"/>
      <c r="AB391" s="3" t="str">
        <f t="shared" si="67"/>
        <v/>
      </c>
      <c r="AC391" s="3"/>
      <c r="AE391" s="3">
        <f t="shared" si="68"/>
        <v>385</v>
      </c>
      <c r="AF391" s="3" t="str">
        <v>Staff: Noboru Takagi (Series Composition)</v>
      </c>
      <c r="AH391" s="3">
        <f t="shared" si="59"/>
        <v>385</v>
      </c>
      <c r="AI391" s="3" t="str">
        <v>Staff Role: Episode Director (ED)</v>
      </c>
    </row>
    <row r="392" spans="1:35" x14ac:dyDescent="0.3">
      <c r="A392" t="str">
        <f>HYPERLINK("https://anilist.co/staff/128907","Staff: Noriko Izumo (Sound Effects)")</f>
        <v>Staff: Noriko Izumo (Sound Effects)</v>
      </c>
      <c r="B392" s="5">
        <v>80</v>
      </c>
      <c r="C392" s="9">
        <v>2</v>
      </c>
      <c r="D392" s="6">
        <v>2.8109627547434998E-4</v>
      </c>
      <c r="E392" s="7">
        <v>2.24877020379479E-2</v>
      </c>
      <c r="G392" s="3" t="str">
        <f t="shared" si="60"/>
        <v/>
      </c>
      <c r="H392" s="3"/>
      <c r="J392" s="3" t="str">
        <f t="shared" si="61"/>
        <v/>
      </c>
      <c r="K392" s="3"/>
      <c r="M392" s="3" t="str">
        <f t="shared" si="62"/>
        <v/>
      </c>
      <c r="N392" s="3"/>
      <c r="P392" s="3" t="str">
        <f t="shared" si="63"/>
        <v/>
      </c>
      <c r="Q392" s="3"/>
      <c r="S392" s="3" t="str">
        <f t="shared" si="64"/>
        <v/>
      </c>
      <c r="T392" s="3"/>
      <c r="V392" s="3" t="str">
        <f t="shared" si="65"/>
        <v/>
      </c>
      <c r="W392" s="3"/>
      <c r="Y392" s="3" t="str">
        <f t="shared" si="66"/>
        <v/>
      </c>
      <c r="Z392" s="3"/>
      <c r="AB392" s="3" t="str">
        <f t="shared" si="67"/>
        <v/>
      </c>
      <c r="AC392" s="3"/>
      <c r="AE392" s="3">
        <f t="shared" si="68"/>
        <v>386</v>
      </c>
      <c r="AF392" s="3" t="str">
        <v>Staff: Yuuichirou Osada (Director of Photography)</v>
      </c>
      <c r="AH392" s="3">
        <f t="shared" ref="AH392:AH455" si="69">IF(NOT(ISBLANK(AI392)),IF(NOT(ISNUMBER(AH391)),1,AH391+1),"")</f>
        <v>386</v>
      </c>
      <c r="AI392" s="3" t="str">
        <v>Staff Role: Theme Song Performance (ED1, ED: ep 12)</v>
      </c>
    </row>
    <row r="393" spans="1:35" x14ac:dyDescent="0.3">
      <c r="A393" t="s">
        <v>11</v>
      </c>
      <c r="B393" s="5">
        <v>75</v>
      </c>
      <c r="C393" s="9">
        <v>2</v>
      </c>
      <c r="D393" s="6">
        <v>2.8109627547434998E-4</v>
      </c>
      <c r="E393" s="7">
        <v>2.10822206605762E-2</v>
      </c>
      <c r="G393" s="3" t="str">
        <f t="shared" si="60"/>
        <v/>
      </c>
      <c r="H393" s="3"/>
      <c r="J393" s="3" t="str">
        <f t="shared" si="61"/>
        <v/>
      </c>
      <c r="K393" s="3"/>
      <c r="M393" s="3" t="str">
        <f t="shared" si="62"/>
        <v/>
      </c>
      <c r="N393" s="3"/>
      <c r="P393" s="3" t="str">
        <f t="shared" si="63"/>
        <v/>
      </c>
      <c r="Q393" s="3"/>
      <c r="S393" s="3" t="str">
        <f t="shared" si="64"/>
        <v/>
      </c>
      <c r="T393" s="3"/>
      <c r="V393" s="3" t="str">
        <f t="shared" si="65"/>
        <v/>
      </c>
      <c r="W393" s="3"/>
      <c r="Y393" s="3" t="str">
        <f t="shared" si="66"/>
        <v/>
      </c>
      <c r="Z393" s="3"/>
      <c r="AB393" s="3" t="str">
        <f t="shared" si="67"/>
        <v/>
      </c>
      <c r="AC393" s="3"/>
      <c r="AE393" s="3">
        <f t="shared" si="68"/>
        <v>387</v>
      </c>
      <c r="AF393" s="3" t="str">
        <v>Staff: Atsushi Morikawa (Art Director)</v>
      </c>
      <c r="AH393" s="3">
        <f t="shared" si="69"/>
        <v>387</v>
      </c>
      <c r="AI393" s="3" t="str">
        <v>Staff Role: Key Animation (eps 5, 9, 11)</v>
      </c>
    </row>
    <row r="394" spans="1:35" x14ac:dyDescent="0.3">
      <c r="A394" t="s">
        <v>131</v>
      </c>
      <c r="B394" s="5">
        <v>75</v>
      </c>
      <c r="C394" s="9">
        <v>2</v>
      </c>
      <c r="D394" s="6">
        <v>2.8109627547434998E-4</v>
      </c>
      <c r="E394" s="7">
        <v>2.10822206605762E-2</v>
      </c>
      <c r="G394" s="3" t="str">
        <f t="shared" si="60"/>
        <v/>
      </c>
      <c r="H394" s="3"/>
      <c r="J394" s="3" t="str">
        <f t="shared" si="61"/>
        <v/>
      </c>
      <c r="K394" s="3"/>
      <c r="M394" s="3" t="str">
        <f t="shared" si="62"/>
        <v/>
      </c>
      <c r="N394" s="3"/>
      <c r="P394" s="3" t="str">
        <f t="shared" si="63"/>
        <v/>
      </c>
      <c r="Q394" s="3"/>
      <c r="S394" s="3" t="str">
        <f t="shared" si="64"/>
        <v/>
      </c>
      <c r="T394" s="3"/>
      <c r="V394" s="3" t="str">
        <f t="shared" si="65"/>
        <v/>
      </c>
      <c r="W394" s="3"/>
      <c r="Y394" s="3" t="str">
        <f t="shared" si="66"/>
        <v/>
      </c>
      <c r="Z394" s="3"/>
      <c r="AB394" s="3" t="str">
        <f t="shared" si="67"/>
        <v/>
      </c>
      <c r="AC394" s="3"/>
      <c r="AE394" s="3">
        <f t="shared" si="68"/>
        <v>388</v>
      </c>
      <c r="AF394" s="3" t="str">
        <v>Staff: Keisuke Hiroe (Creature Design)</v>
      </c>
      <c r="AH394" s="3">
        <f t="shared" si="69"/>
        <v>388</v>
      </c>
      <c r="AI394" s="3" t="str">
        <v>Staff Role: Theme Song Lyrics (ED: ep 12)</v>
      </c>
    </row>
    <row r="395" spans="1:35" x14ac:dyDescent="0.3">
      <c r="A395" t="s">
        <v>146</v>
      </c>
      <c r="B395" s="5">
        <v>75</v>
      </c>
      <c r="C395" s="9">
        <v>2</v>
      </c>
      <c r="D395" s="6">
        <v>2.8109627547434998E-4</v>
      </c>
      <c r="E395" s="7">
        <v>2.10822206605762E-2</v>
      </c>
      <c r="G395" s="3" t="str">
        <f t="shared" si="60"/>
        <v/>
      </c>
      <c r="H395" s="3"/>
      <c r="J395" s="3" t="str">
        <f t="shared" si="61"/>
        <v/>
      </c>
      <c r="K395" s="3"/>
      <c r="M395" s="3" t="str">
        <f t="shared" si="62"/>
        <v/>
      </c>
      <c r="N395" s="3"/>
      <c r="P395" s="3" t="str">
        <f t="shared" si="63"/>
        <v/>
      </c>
      <c r="Q395" s="3"/>
      <c r="S395" s="3" t="str">
        <f t="shared" si="64"/>
        <v/>
      </c>
      <c r="T395" s="3"/>
      <c r="V395" s="3" t="str">
        <f t="shared" si="65"/>
        <v/>
      </c>
      <c r="W395" s="3"/>
      <c r="Y395" s="3" t="str">
        <f t="shared" si="66"/>
        <v/>
      </c>
      <c r="Z395" s="3"/>
      <c r="AB395" s="3" t="str">
        <f t="shared" si="67"/>
        <v/>
      </c>
      <c r="AC395" s="3"/>
      <c r="AE395" s="3">
        <f t="shared" si="68"/>
        <v>389</v>
      </c>
      <c r="AF395" s="3" t="str">
        <v>Staff: Kenichi Oonuki (Character Design)</v>
      </c>
      <c r="AH395" s="3">
        <f t="shared" si="69"/>
        <v>389</v>
      </c>
      <c r="AI395" s="3" t="str">
        <v>Staff Role: Theme Song Composition (ED: ep 12)</v>
      </c>
    </row>
    <row r="396" spans="1:35" x14ac:dyDescent="0.3">
      <c r="A396" t="s">
        <v>147</v>
      </c>
      <c r="B396" s="5">
        <v>75</v>
      </c>
      <c r="C396" s="9">
        <v>2</v>
      </c>
      <c r="D396" s="6">
        <v>2.8109627547434998E-4</v>
      </c>
      <c r="E396" s="7">
        <v>2.10822206605762E-2</v>
      </c>
      <c r="G396" s="3" t="str">
        <f t="shared" si="60"/>
        <v/>
      </c>
      <c r="H396" s="3"/>
      <c r="J396" s="3" t="str">
        <f t="shared" si="61"/>
        <v/>
      </c>
      <c r="K396" s="3"/>
      <c r="M396" s="3" t="str">
        <f t="shared" si="62"/>
        <v/>
      </c>
      <c r="N396" s="3"/>
      <c r="P396" s="3" t="str">
        <f t="shared" si="63"/>
        <v/>
      </c>
      <c r="Q396" s="3"/>
      <c r="S396" s="3" t="str">
        <f t="shared" si="64"/>
        <v/>
      </c>
      <c r="T396" s="3"/>
      <c r="V396" s="3" t="str">
        <f t="shared" si="65"/>
        <v/>
      </c>
      <c r="W396" s="3"/>
      <c r="Y396" s="3" t="str">
        <f t="shared" si="66"/>
        <v/>
      </c>
      <c r="Z396" s="3"/>
      <c r="AB396" s="3" t="str">
        <f t="shared" si="67"/>
        <v/>
      </c>
      <c r="AC396" s="3"/>
      <c r="AE396" s="3">
        <f t="shared" si="68"/>
        <v>390</v>
      </c>
      <c r="AF396" s="3" t="str">
        <v>Staff: Koutarou Shishido (CG Director)</v>
      </c>
      <c r="AH396" s="3">
        <f t="shared" si="69"/>
        <v>390</v>
      </c>
      <c r="AI396" s="3" t="str">
        <v>Staff Role: Theme Song Arrangement (ED: ep 12)</v>
      </c>
    </row>
    <row r="397" spans="1:35" x14ac:dyDescent="0.3">
      <c r="A397" t="s">
        <v>202</v>
      </c>
      <c r="B397" s="5">
        <v>75</v>
      </c>
      <c r="C397" s="9">
        <v>2</v>
      </c>
      <c r="D397" s="6">
        <v>2.8109627547434998E-4</v>
      </c>
      <c r="E397" s="7">
        <v>2.10822206605762E-2</v>
      </c>
      <c r="G397" s="3" t="str">
        <f t="shared" si="60"/>
        <v/>
      </c>
      <c r="H397" s="3"/>
      <c r="J397" s="3" t="str">
        <f t="shared" si="61"/>
        <v/>
      </c>
      <c r="K397" s="3"/>
      <c r="M397" s="3" t="str">
        <f t="shared" si="62"/>
        <v/>
      </c>
      <c r="N397" s="3"/>
      <c r="P397" s="3" t="str">
        <f t="shared" si="63"/>
        <v/>
      </c>
      <c r="Q397" s="3"/>
      <c r="S397" s="3" t="str">
        <f t="shared" si="64"/>
        <v/>
      </c>
      <c r="T397" s="3"/>
      <c r="V397" s="3" t="str">
        <f t="shared" si="65"/>
        <v/>
      </c>
      <c r="W397" s="3"/>
      <c r="Y397" s="3" t="str">
        <f t="shared" si="66"/>
        <v/>
      </c>
      <c r="Z397" s="3"/>
      <c r="AB397" s="3" t="str">
        <f t="shared" si="67"/>
        <v/>
      </c>
      <c r="AC397" s="3"/>
      <c r="AE397" s="3">
        <f t="shared" si="68"/>
        <v>391</v>
      </c>
      <c r="AF397" s="3" t="str">
        <v>Staff: Gou Sadamatsu (Editing)</v>
      </c>
      <c r="AH397" s="3">
        <f t="shared" si="69"/>
        <v>391</v>
      </c>
      <c r="AI397" s="3" t="str">
        <v>Staff Role: Insert Song Lyrics (eps 5, 11)</v>
      </c>
    </row>
    <row r="398" spans="1:35" x14ac:dyDescent="0.3">
      <c r="A398" t="s">
        <v>203</v>
      </c>
      <c r="B398" s="5">
        <v>75</v>
      </c>
      <c r="C398" s="9">
        <v>2</v>
      </c>
      <c r="D398" s="6">
        <v>2.8109627547434998E-4</v>
      </c>
      <c r="E398" s="7">
        <v>2.10822206605762E-2</v>
      </c>
      <c r="G398" s="3" t="str">
        <f t="shared" si="60"/>
        <v/>
      </c>
      <c r="H398" s="3"/>
      <c r="J398" s="3" t="str">
        <f t="shared" si="61"/>
        <v/>
      </c>
      <c r="K398" s="3"/>
      <c r="M398" s="3" t="str">
        <f t="shared" si="62"/>
        <v/>
      </c>
      <c r="N398" s="3"/>
      <c r="P398" s="3" t="str">
        <f t="shared" si="63"/>
        <v/>
      </c>
      <c r="Q398" s="3"/>
      <c r="S398" s="3" t="str">
        <f t="shared" si="64"/>
        <v/>
      </c>
      <c r="T398" s="3"/>
      <c r="V398" s="3" t="str">
        <f t="shared" si="65"/>
        <v/>
      </c>
      <c r="W398" s="3"/>
      <c r="Y398" s="3" t="str">
        <f t="shared" si="66"/>
        <v/>
      </c>
      <c r="Z398" s="3"/>
      <c r="AB398" s="3" t="str">
        <f t="shared" si="67"/>
        <v/>
      </c>
      <c r="AC398" s="3"/>
      <c r="AE398" s="3">
        <f t="shared" si="68"/>
        <v>392</v>
      </c>
      <c r="AF398" s="3" t="str">
        <v>Staff: Tomoe Ookubo (Art Design)</v>
      </c>
      <c r="AH398" s="3">
        <f t="shared" si="69"/>
        <v>392</v>
      </c>
      <c r="AI398" s="3" t="str">
        <v>Staff Role: Insert Song Arrangement (eps 5, 11)</v>
      </c>
    </row>
    <row r="399" spans="1:35" x14ac:dyDescent="0.3">
      <c r="A399" t="s">
        <v>204</v>
      </c>
      <c r="B399" s="5">
        <v>75</v>
      </c>
      <c r="C399" s="9">
        <v>2</v>
      </c>
      <c r="D399" s="6">
        <v>2.8109627547434998E-4</v>
      </c>
      <c r="E399" s="7">
        <v>2.10822206605762E-2</v>
      </c>
      <c r="G399" s="3" t="str">
        <f t="shared" si="60"/>
        <v/>
      </c>
      <c r="H399" s="3"/>
      <c r="J399" s="3" t="str">
        <f t="shared" si="61"/>
        <v/>
      </c>
      <c r="K399" s="3"/>
      <c r="M399" s="3" t="str">
        <f t="shared" si="62"/>
        <v/>
      </c>
      <c r="N399" s="3"/>
      <c r="P399" s="3" t="str">
        <f t="shared" si="63"/>
        <v/>
      </c>
      <c r="Q399" s="3"/>
      <c r="S399" s="3" t="str">
        <f t="shared" si="64"/>
        <v/>
      </c>
      <c r="T399" s="3"/>
      <c r="V399" s="3" t="str">
        <f t="shared" si="65"/>
        <v/>
      </c>
      <c r="W399" s="3"/>
      <c r="Y399" s="3" t="str">
        <f t="shared" si="66"/>
        <v/>
      </c>
      <c r="Z399" s="3"/>
      <c r="AB399" s="3" t="str">
        <f t="shared" si="67"/>
        <v/>
      </c>
      <c r="AC399" s="3"/>
      <c r="AE399" s="3">
        <f t="shared" si="68"/>
        <v>393</v>
      </c>
      <c r="AF399" s="3" t="str">
        <v>Staff:  THE SIXTH LIE (Theme Song Performance (ED))</v>
      </c>
      <c r="AH399" s="3">
        <f t="shared" si="69"/>
        <v>393</v>
      </c>
      <c r="AI399" s="3" t="str">
        <v>Staff Role: Script (eps 1-3, 7-9, 13)</v>
      </c>
    </row>
    <row r="400" spans="1:35" x14ac:dyDescent="0.3">
      <c r="A400" t="s">
        <v>217</v>
      </c>
      <c r="B400" s="5">
        <v>75</v>
      </c>
      <c r="C400" s="9">
        <v>2</v>
      </c>
      <c r="D400" s="6">
        <v>2.8109627547434998E-4</v>
      </c>
      <c r="E400" s="7">
        <v>2.10822206605762E-2</v>
      </c>
      <c r="G400" s="3" t="str">
        <f t="shared" si="60"/>
        <v/>
      </c>
      <c r="H400" s="3"/>
      <c r="J400" s="3" t="str">
        <f t="shared" si="61"/>
        <v/>
      </c>
      <c r="K400" s="3"/>
      <c r="M400" s="3" t="str">
        <f t="shared" si="62"/>
        <v/>
      </c>
      <c r="N400" s="3"/>
      <c r="P400" s="3" t="str">
        <f t="shared" si="63"/>
        <v/>
      </c>
      <c r="Q400" s="3"/>
      <c r="S400" s="3" t="str">
        <f t="shared" si="64"/>
        <v/>
      </c>
      <c r="T400" s="3"/>
      <c r="V400" s="3" t="str">
        <f t="shared" si="65"/>
        <v/>
      </c>
      <c r="W400" s="3"/>
      <c r="Y400" s="3" t="str">
        <f t="shared" si="66"/>
        <v/>
      </c>
      <c r="Z400" s="3"/>
      <c r="AB400" s="3" t="str">
        <f t="shared" si="67"/>
        <v/>
      </c>
      <c r="AC400" s="3"/>
      <c r="AE400" s="3">
        <f t="shared" si="68"/>
        <v>394</v>
      </c>
      <c r="AF400" s="3" t="str">
        <v>Staff: FOMARE (Theme Song Performance (OP))</v>
      </c>
      <c r="AH400" s="3">
        <f t="shared" si="69"/>
        <v>394</v>
      </c>
      <c r="AI400" s="3" t="str">
        <v>Staff Role: Script (eps 4-6, 10-12)</v>
      </c>
    </row>
    <row r="401" spans="1:35" x14ac:dyDescent="0.3">
      <c r="A401" t="s">
        <v>248</v>
      </c>
      <c r="B401" s="5">
        <v>75</v>
      </c>
      <c r="C401" s="9">
        <v>2</v>
      </c>
      <c r="D401" s="6">
        <v>2.8109627547434998E-4</v>
      </c>
      <c r="E401" s="7">
        <v>2.10822206605762E-2</v>
      </c>
      <c r="G401" s="3" t="str">
        <f t="shared" si="60"/>
        <v/>
      </c>
      <c r="H401" s="3"/>
      <c r="J401" s="3" t="str">
        <f t="shared" si="61"/>
        <v/>
      </c>
      <c r="K401" s="3"/>
      <c r="M401" s="3" t="str">
        <f t="shared" si="62"/>
        <v/>
      </c>
      <c r="N401" s="3"/>
      <c r="P401" s="3" t="str">
        <f t="shared" si="63"/>
        <v/>
      </c>
      <c r="Q401" s="3"/>
      <c r="S401" s="3" t="str">
        <f t="shared" si="64"/>
        <v/>
      </c>
      <c r="T401" s="3"/>
      <c r="V401" s="3" t="str">
        <f t="shared" si="65"/>
        <v/>
      </c>
      <c r="W401" s="3"/>
      <c r="Y401" s="3" t="str">
        <f t="shared" si="66"/>
        <v/>
      </c>
      <c r="Z401" s="3"/>
      <c r="AB401" s="3" t="str">
        <f t="shared" si="67"/>
        <v/>
      </c>
      <c r="AC401" s="3"/>
      <c r="AE401" s="3">
        <f t="shared" si="68"/>
        <v>395</v>
      </c>
      <c r="AF401" s="3" t="str">
        <v>Staff: Yutaka Hirata (Episode Director (ep 1))</v>
      </c>
      <c r="AH401" s="3">
        <f t="shared" si="69"/>
        <v>395</v>
      </c>
      <c r="AI401" s="3" t="str">
        <v>Staff Role: Biological Design</v>
      </c>
    </row>
    <row r="402" spans="1:35" x14ac:dyDescent="0.3">
      <c r="A402" t="s">
        <v>250</v>
      </c>
      <c r="B402" s="5">
        <v>75</v>
      </c>
      <c r="C402" s="9">
        <v>2</v>
      </c>
      <c r="D402" s="6">
        <v>2.8109627547434998E-4</v>
      </c>
      <c r="E402" s="7">
        <v>2.10822206605762E-2</v>
      </c>
      <c r="G402" s="3" t="str">
        <f t="shared" si="60"/>
        <v/>
      </c>
      <c r="H402" s="3"/>
      <c r="J402" s="3" t="str">
        <f t="shared" si="61"/>
        <v/>
      </c>
      <c r="K402" s="3"/>
      <c r="M402" s="3" t="str">
        <f t="shared" si="62"/>
        <v/>
      </c>
      <c r="N402" s="3"/>
      <c r="P402" s="3" t="str">
        <f t="shared" si="63"/>
        <v/>
      </c>
      <c r="Q402" s="3"/>
      <c r="S402" s="3" t="str">
        <f t="shared" si="64"/>
        <v/>
      </c>
      <c r="T402" s="3"/>
      <c r="V402" s="3" t="str">
        <f t="shared" si="65"/>
        <v/>
      </c>
      <c r="W402" s="3"/>
      <c r="Y402" s="3" t="str">
        <f t="shared" si="66"/>
        <v/>
      </c>
      <c r="Z402" s="3"/>
      <c r="AB402" s="3" t="str">
        <f t="shared" si="67"/>
        <v/>
      </c>
      <c r="AC402" s="3"/>
      <c r="AE402" s="3">
        <f t="shared" si="68"/>
        <v>396</v>
      </c>
      <c r="AF402" s="3" t="str">
        <v>Staff: Masahiro Andou (Storyboard (ep 2))</v>
      </c>
      <c r="AH402" s="3">
        <f t="shared" si="69"/>
        <v>396</v>
      </c>
      <c r="AI402" s="3" t="str">
        <v>Staff Role: Animation Director (eps 6, 9)</v>
      </c>
    </row>
    <row r="403" spans="1:35" x14ac:dyDescent="0.3">
      <c r="A403" t="s">
        <v>255</v>
      </c>
      <c r="B403" s="5">
        <v>75</v>
      </c>
      <c r="C403" s="9">
        <v>2</v>
      </c>
      <c r="D403" s="6">
        <v>2.8109627547434998E-4</v>
      </c>
      <c r="E403" s="7">
        <v>2.10822206605762E-2</v>
      </c>
      <c r="G403" s="3" t="str">
        <f t="shared" si="60"/>
        <v/>
      </c>
      <c r="H403" s="3"/>
      <c r="J403" s="3" t="str">
        <f t="shared" si="61"/>
        <v/>
      </c>
      <c r="K403" s="3"/>
      <c r="M403" s="3" t="str">
        <f t="shared" si="62"/>
        <v/>
      </c>
      <c r="N403" s="3"/>
      <c r="P403" s="3" t="str">
        <f t="shared" si="63"/>
        <v/>
      </c>
      <c r="Q403" s="3"/>
      <c r="S403" s="3" t="str">
        <f t="shared" si="64"/>
        <v/>
      </c>
      <c r="T403" s="3"/>
      <c r="V403" s="3" t="str">
        <f t="shared" si="65"/>
        <v/>
      </c>
      <c r="W403" s="3"/>
      <c r="Y403" s="3" t="str">
        <f t="shared" si="66"/>
        <v/>
      </c>
      <c r="Z403" s="3"/>
      <c r="AB403" s="3" t="str">
        <f t="shared" si="67"/>
        <v/>
      </c>
      <c r="AC403" s="3"/>
      <c r="AE403" s="3">
        <f t="shared" si="68"/>
        <v>397</v>
      </c>
      <c r="AF403" s="3" t="str">
        <v>Staff: Shige Fukase (Episode Director (ep 2))</v>
      </c>
      <c r="AH403" s="3">
        <f t="shared" si="69"/>
        <v>397</v>
      </c>
      <c r="AI403" s="3" t="str">
        <v>Staff Role: Storyboard (eps 1-3, 5, 8-10, 12, 13)</v>
      </c>
    </row>
    <row r="404" spans="1:35" x14ac:dyDescent="0.3">
      <c r="A404" t="s">
        <v>295</v>
      </c>
      <c r="B404" s="5">
        <v>75</v>
      </c>
      <c r="C404" s="9">
        <v>2</v>
      </c>
      <c r="D404" s="6">
        <v>2.8109627547434998E-4</v>
      </c>
      <c r="E404" s="7">
        <v>2.10822206605762E-2</v>
      </c>
      <c r="G404" s="3" t="str">
        <f t="shared" si="60"/>
        <v/>
      </c>
      <c r="H404" s="3"/>
      <c r="J404" s="3" t="str">
        <f t="shared" si="61"/>
        <v/>
      </c>
      <c r="K404" s="3"/>
      <c r="M404" s="3" t="str">
        <f t="shared" si="62"/>
        <v/>
      </c>
      <c r="N404" s="3"/>
      <c r="P404" s="3" t="str">
        <f t="shared" si="63"/>
        <v/>
      </c>
      <c r="Q404" s="3"/>
      <c r="S404" s="3" t="str">
        <f t="shared" si="64"/>
        <v/>
      </c>
      <c r="T404" s="3"/>
      <c r="V404" s="3" t="str">
        <f t="shared" si="65"/>
        <v/>
      </c>
      <c r="W404" s="3"/>
      <c r="Y404" s="3" t="str">
        <f t="shared" si="66"/>
        <v/>
      </c>
      <c r="Z404" s="3"/>
      <c r="AB404" s="3" t="str">
        <f t="shared" si="67"/>
        <v/>
      </c>
      <c r="AC404" s="3"/>
      <c r="AE404" s="3">
        <f t="shared" si="68"/>
        <v>398</v>
      </c>
      <c r="AF404" s="3" t="str">
        <v>Staff: Hitoshi Nanba (Storyboard (ep 1))</v>
      </c>
      <c r="AH404" s="3">
        <f t="shared" si="69"/>
        <v>398</v>
      </c>
      <c r="AI404" s="3" t="str">
        <v>Staff Role: Storyboard (eps 4, 11)</v>
      </c>
    </row>
    <row r="405" spans="1:35" x14ac:dyDescent="0.3">
      <c r="A405" t="s">
        <v>313</v>
      </c>
      <c r="B405" s="5">
        <v>75</v>
      </c>
      <c r="C405" s="9">
        <v>2</v>
      </c>
      <c r="D405" s="6">
        <v>2.8109627547434998E-4</v>
      </c>
      <c r="E405" s="7">
        <v>2.10822206605762E-2</v>
      </c>
      <c r="G405" s="3" t="str">
        <f t="shared" si="60"/>
        <v/>
      </c>
      <c r="H405" s="3"/>
      <c r="J405" s="3" t="str">
        <f t="shared" si="61"/>
        <v/>
      </c>
      <c r="K405" s="3"/>
      <c r="M405" s="3" t="str">
        <f t="shared" si="62"/>
        <v/>
      </c>
      <c r="N405" s="3"/>
      <c r="P405" s="3" t="str">
        <f t="shared" si="63"/>
        <v/>
      </c>
      <c r="Q405" s="3"/>
      <c r="S405" s="3" t="str">
        <f t="shared" si="64"/>
        <v/>
      </c>
      <c r="T405" s="3"/>
      <c r="V405" s="3" t="str">
        <f t="shared" si="65"/>
        <v/>
      </c>
      <c r="W405" s="3"/>
      <c r="Y405" s="3" t="str">
        <f t="shared" si="66"/>
        <v/>
      </c>
      <c r="Z405" s="3"/>
      <c r="AB405" s="3" t="str">
        <f t="shared" si="67"/>
        <v/>
      </c>
      <c r="AC405" s="3"/>
      <c r="AE405" s="3">
        <f t="shared" si="68"/>
        <v>399</v>
      </c>
      <c r="AF405" s="3" t="str">
        <v>Staff: Naho Kozono (Sub Character Design)</v>
      </c>
      <c r="AH405" s="3">
        <f t="shared" si="69"/>
        <v>399</v>
      </c>
      <c r="AI405" s="3" t="str">
        <v>Staff Role: Episode Director (eps 2, 13)</v>
      </c>
    </row>
    <row r="406" spans="1:35" x14ac:dyDescent="0.3">
      <c r="A406" t="s">
        <v>316</v>
      </c>
      <c r="B406" s="5">
        <v>75</v>
      </c>
      <c r="C406" s="9">
        <v>2</v>
      </c>
      <c r="D406" s="6">
        <v>2.8109627547434998E-4</v>
      </c>
      <c r="E406" s="7">
        <v>2.10822206605762E-2</v>
      </c>
      <c r="G406" s="3" t="str">
        <f t="shared" si="60"/>
        <v/>
      </c>
      <c r="H406" s="3"/>
      <c r="J406" s="3" t="str">
        <f t="shared" si="61"/>
        <v/>
      </c>
      <c r="K406" s="3"/>
      <c r="M406" s="3" t="str">
        <f t="shared" si="62"/>
        <v/>
      </c>
      <c r="N406" s="3"/>
      <c r="P406" s="3" t="str">
        <f t="shared" si="63"/>
        <v/>
      </c>
      <c r="Q406" s="3"/>
      <c r="S406" s="3" t="str">
        <f t="shared" si="64"/>
        <v/>
      </c>
      <c r="T406" s="3"/>
      <c r="V406" s="3" t="str">
        <f t="shared" si="65"/>
        <v/>
      </c>
      <c r="W406" s="3"/>
      <c r="Y406" s="3" t="str">
        <f t="shared" si="66"/>
        <v/>
      </c>
      <c r="Z406" s="3"/>
      <c r="AB406" s="3" t="str">
        <f t="shared" si="67"/>
        <v/>
      </c>
      <c r="AC406" s="3"/>
      <c r="AE406" s="3">
        <f t="shared" si="68"/>
        <v>400</v>
      </c>
      <c r="AF406" s="3" t="str">
        <v>Staff: Mayumi Fukushi (Sub Character Design)</v>
      </c>
      <c r="AH406" s="3">
        <f t="shared" si="69"/>
        <v>400</v>
      </c>
      <c r="AI406" s="3" t="str">
        <v>Staff Role: Episode Director (eps 4, 7, 8)</v>
      </c>
    </row>
    <row r="407" spans="1:35" x14ac:dyDescent="0.3">
      <c r="A407" t="s">
        <v>345</v>
      </c>
      <c r="B407" s="5">
        <v>75</v>
      </c>
      <c r="C407" s="9">
        <v>2</v>
      </c>
      <c r="D407" s="6">
        <v>2.8109627547434998E-4</v>
      </c>
      <c r="E407" s="7">
        <v>2.10822206605762E-2</v>
      </c>
      <c r="G407" s="3" t="str">
        <f t="shared" ref="G407:G470" si="70">IF(NOT(ISBLANK(H407)),IF(NOT(ISNUMBER(G406)),1,G406+1),"")</f>
        <v/>
      </c>
      <c r="H407" s="3"/>
      <c r="J407" s="3" t="str">
        <f t="shared" ref="J407:J470" si="71">IF(NOT(ISBLANK(K407)),IF(NOT(ISNUMBER(J406)),1,J406+1),"")</f>
        <v/>
      </c>
      <c r="K407" s="3"/>
      <c r="M407" s="3" t="str">
        <f t="shared" ref="M407:M470" si="72">IF(NOT(ISBLANK(N407)),IF(NOT(ISNUMBER(M406)),1,M406+1),"")</f>
        <v/>
      </c>
      <c r="N407" s="3"/>
      <c r="P407" s="3" t="str">
        <f t="shared" ref="P407:P470" si="73">IF(NOT(ISBLANK(Q407)),IF(NOT(ISNUMBER(P406)),1,P406+1),"")</f>
        <v/>
      </c>
      <c r="Q407" s="3"/>
      <c r="S407" s="3" t="str">
        <f t="shared" ref="S407:S470" si="74">IF(NOT(ISBLANK(T407)),IF(NOT(ISNUMBER(S406)),1,S406+1),"")</f>
        <v/>
      </c>
      <c r="T407" s="3"/>
      <c r="V407" s="3" t="str">
        <f t="shared" ref="V407:V470" si="75">IF(NOT(ISBLANK(W407)),IF(NOT(ISNUMBER(V406)),1,V406+1),"")</f>
        <v/>
      </c>
      <c r="W407" s="3"/>
      <c r="Y407" s="3" t="str">
        <f t="shared" ref="Y407:Y470" si="76">IF(NOT(ISBLANK(Z407)),IF(NOT(ISNUMBER(Y406)),1,Y406+1),"")</f>
        <v/>
      </c>
      <c r="Z407" s="3"/>
      <c r="AB407" s="3" t="str">
        <f t="shared" ref="AB407:AB470" si="77">IF(NOT(ISBLANK(AC407)),IF(NOT(ISNUMBER(AB406)),1,AB406+1),"")</f>
        <v/>
      </c>
      <c r="AC407" s="3"/>
      <c r="AE407" s="3">
        <f t="shared" ref="AE407:AE470" si="78">IF(NOT(ISBLANK(AF407)),IF(NOT(ISNUMBER(AE406)),1,AE406+1),"")</f>
        <v>401</v>
      </c>
      <c r="AF407" s="3" t="str">
        <v>Staff: Tamako Miyanishi (Animation Director (ep 2))</v>
      </c>
      <c r="AH407" s="3">
        <f t="shared" si="69"/>
        <v>401</v>
      </c>
      <c r="AI407" s="3" t="str">
        <v>Staff Role: Episode Director (eps 1, 6, 9)</v>
      </c>
    </row>
    <row r="408" spans="1:35" x14ac:dyDescent="0.3">
      <c r="A408" t="s">
        <v>352</v>
      </c>
      <c r="B408" s="5">
        <v>75</v>
      </c>
      <c r="C408" s="9">
        <v>2</v>
      </c>
      <c r="D408" s="6">
        <v>2.8109627547434998E-4</v>
      </c>
      <c r="E408" s="7">
        <v>2.10822206605762E-2</v>
      </c>
      <c r="G408" s="3" t="str">
        <f t="shared" si="70"/>
        <v/>
      </c>
      <c r="H408" s="3"/>
      <c r="J408" s="3" t="str">
        <f t="shared" si="71"/>
        <v/>
      </c>
      <c r="K408" s="3"/>
      <c r="M408" s="3" t="str">
        <f t="shared" si="72"/>
        <v/>
      </c>
      <c r="N408" s="3"/>
      <c r="P408" s="3" t="str">
        <f t="shared" si="73"/>
        <v/>
      </c>
      <c r="Q408" s="3"/>
      <c r="S408" s="3" t="str">
        <f t="shared" si="74"/>
        <v/>
      </c>
      <c r="T408" s="3"/>
      <c r="V408" s="3" t="str">
        <f t="shared" si="75"/>
        <v/>
      </c>
      <c r="W408" s="3"/>
      <c r="Y408" s="3" t="str">
        <f t="shared" si="76"/>
        <v/>
      </c>
      <c r="Z408" s="3"/>
      <c r="AB408" s="3" t="str">
        <f t="shared" si="77"/>
        <v/>
      </c>
      <c r="AC408" s="3"/>
      <c r="AE408" s="3">
        <f t="shared" si="78"/>
        <v>402</v>
      </c>
      <c r="AF408" s="3" t="str">
        <v>Staff: Kouji Watanabe (Animal Animation Director (ep 1, 2))</v>
      </c>
      <c r="AH408" s="3">
        <f t="shared" si="69"/>
        <v>402</v>
      </c>
      <c r="AI408" s="3" t="str">
        <v>Staff Role: Episode Director (eps 5, 11)</v>
      </c>
    </row>
    <row r="409" spans="1:35" x14ac:dyDescent="0.3">
      <c r="A409" t="s">
        <v>357</v>
      </c>
      <c r="B409" s="5">
        <v>75</v>
      </c>
      <c r="C409" s="9">
        <v>2</v>
      </c>
      <c r="D409" s="6">
        <v>2.8109627547434998E-4</v>
      </c>
      <c r="E409" s="7">
        <v>2.10822206605762E-2</v>
      </c>
      <c r="G409" s="3" t="str">
        <f t="shared" si="70"/>
        <v/>
      </c>
      <c r="H409" s="3"/>
      <c r="J409" s="3" t="str">
        <f t="shared" si="71"/>
        <v/>
      </c>
      <c r="K409" s="3"/>
      <c r="M409" s="3" t="str">
        <f t="shared" si="72"/>
        <v/>
      </c>
      <c r="N409" s="3"/>
      <c r="P409" s="3" t="str">
        <f t="shared" si="73"/>
        <v/>
      </c>
      <c r="Q409" s="3"/>
      <c r="S409" s="3" t="str">
        <f t="shared" si="74"/>
        <v/>
      </c>
      <c r="T409" s="3"/>
      <c r="V409" s="3" t="str">
        <f t="shared" si="75"/>
        <v/>
      </c>
      <c r="W409" s="3"/>
      <c r="Y409" s="3" t="str">
        <f t="shared" si="76"/>
        <v/>
      </c>
      <c r="Z409" s="3"/>
      <c r="AB409" s="3" t="str">
        <f t="shared" si="77"/>
        <v/>
      </c>
      <c r="AC409" s="3"/>
      <c r="AE409" s="3">
        <f t="shared" si="78"/>
        <v>403</v>
      </c>
      <c r="AF409" s="3" t="str">
        <v>Staff: Akira Takeuchi (Animation Director (ep 1))</v>
      </c>
      <c r="AH409" s="3">
        <f t="shared" si="69"/>
        <v>403</v>
      </c>
      <c r="AI409" s="3" t="str">
        <v>Staff Role: Casting Management</v>
      </c>
    </row>
    <row r="410" spans="1:35" x14ac:dyDescent="0.3">
      <c r="A410" t="s">
        <v>367</v>
      </c>
      <c r="B410" s="5">
        <v>75</v>
      </c>
      <c r="C410" s="9">
        <v>2</v>
      </c>
      <c r="D410" s="6">
        <v>2.8109627547434998E-4</v>
      </c>
      <c r="E410" s="7">
        <v>2.10822206605762E-2</v>
      </c>
      <c r="G410" s="3" t="str">
        <f t="shared" si="70"/>
        <v/>
      </c>
      <c r="H410" s="3"/>
      <c r="J410" s="3" t="str">
        <f t="shared" si="71"/>
        <v/>
      </c>
      <c r="K410" s="3"/>
      <c r="M410" s="3" t="str">
        <f t="shared" si="72"/>
        <v/>
      </c>
      <c r="N410" s="3"/>
      <c r="P410" s="3" t="str">
        <f t="shared" si="73"/>
        <v/>
      </c>
      <c r="Q410" s="3"/>
      <c r="S410" s="3" t="str">
        <f t="shared" si="74"/>
        <v/>
      </c>
      <c r="T410" s="3"/>
      <c r="V410" s="3" t="str">
        <f t="shared" si="75"/>
        <v/>
      </c>
      <c r="W410" s="3"/>
      <c r="Y410" s="3" t="str">
        <f t="shared" si="76"/>
        <v/>
      </c>
      <c r="Z410" s="3"/>
      <c r="AB410" s="3" t="str">
        <f t="shared" si="77"/>
        <v/>
      </c>
      <c r="AC410" s="3"/>
      <c r="AE410" s="3">
        <f t="shared" si="78"/>
        <v>404</v>
      </c>
      <c r="AF410" s="3" t="str">
        <v>Staff: Akane Shimizu (Original Creator)</v>
      </c>
      <c r="AH410" s="3">
        <f t="shared" si="69"/>
        <v>404</v>
      </c>
      <c r="AI410" s="3" t="str">
        <v>Staff Role: Visual Effects</v>
      </c>
    </row>
    <row r="411" spans="1:35" x14ac:dyDescent="0.3">
      <c r="A411" t="s">
        <v>370</v>
      </c>
      <c r="B411" s="5">
        <v>75</v>
      </c>
      <c r="C411" s="9">
        <v>2</v>
      </c>
      <c r="D411" s="6">
        <v>2.8109627547434998E-4</v>
      </c>
      <c r="E411" s="7">
        <v>2.10822206605762E-2</v>
      </c>
      <c r="G411" s="3" t="str">
        <f t="shared" si="70"/>
        <v/>
      </c>
      <c r="H411" s="3"/>
      <c r="J411" s="3" t="str">
        <f t="shared" si="71"/>
        <v/>
      </c>
      <c r="K411" s="3"/>
      <c r="M411" s="3" t="str">
        <f t="shared" si="72"/>
        <v/>
      </c>
      <c r="N411" s="3"/>
      <c r="P411" s="3" t="str">
        <f t="shared" si="73"/>
        <v/>
      </c>
      <c r="Q411" s="3"/>
      <c r="S411" s="3" t="str">
        <f t="shared" si="74"/>
        <v/>
      </c>
      <c r="T411" s="3"/>
      <c r="V411" s="3" t="str">
        <f t="shared" si="75"/>
        <v/>
      </c>
      <c r="W411" s="3"/>
      <c r="Y411" s="3" t="str">
        <f t="shared" si="76"/>
        <v/>
      </c>
      <c r="Z411" s="3"/>
      <c r="AB411" s="3" t="str">
        <f t="shared" si="77"/>
        <v/>
      </c>
      <c r="AC411" s="3"/>
      <c r="AE411" s="3">
        <f t="shared" si="78"/>
        <v>405</v>
      </c>
      <c r="AF411" s="3" t="str">
        <v>Staff: Kenichi Suzuki (Script (eps 7, 13))</v>
      </c>
      <c r="AH411" s="3">
        <f t="shared" si="69"/>
        <v>405</v>
      </c>
      <c r="AI411" s="3" t="str">
        <v>Staff Role: Graphic Design</v>
      </c>
    </row>
    <row r="412" spans="1:35" x14ac:dyDescent="0.3">
      <c r="A412" t="s">
        <v>402</v>
      </c>
      <c r="B412" s="5">
        <v>75</v>
      </c>
      <c r="C412" s="9">
        <v>2</v>
      </c>
      <c r="D412" s="6">
        <v>2.8109627547434998E-4</v>
      </c>
      <c r="E412" s="7">
        <v>2.10822206605762E-2</v>
      </c>
      <c r="G412" s="3" t="str">
        <f t="shared" si="70"/>
        <v/>
      </c>
      <c r="H412" s="3"/>
      <c r="J412" s="3" t="str">
        <f t="shared" si="71"/>
        <v/>
      </c>
      <c r="K412" s="3"/>
      <c r="M412" s="3" t="str">
        <f t="shared" si="72"/>
        <v/>
      </c>
      <c r="N412" s="3"/>
      <c r="P412" s="3" t="str">
        <f t="shared" si="73"/>
        <v/>
      </c>
      <c r="Q412" s="3"/>
      <c r="S412" s="3" t="str">
        <f t="shared" si="74"/>
        <v/>
      </c>
      <c r="T412" s="3"/>
      <c r="V412" s="3" t="str">
        <f t="shared" si="75"/>
        <v/>
      </c>
      <c r="W412" s="3"/>
      <c r="Y412" s="3" t="str">
        <f t="shared" si="76"/>
        <v/>
      </c>
      <c r="Z412" s="3"/>
      <c r="AB412" s="3" t="str">
        <f t="shared" si="77"/>
        <v/>
      </c>
      <c r="AC412" s="3"/>
      <c r="AE412" s="3">
        <f t="shared" si="78"/>
        <v>406</v>
      </c>
      <c r="AF412" s="3" t="str">
        <v>Staff: Yuuko Kakihara (Script (eps 1-6, 8-12))</v>
      </c>
      <c r="AH412" s="3">
        <f t="shared" si="69"/>
        <v>406</v>
      </c>
      <c r="AI412" s="3" t="str">
        <v>Staff Role: Storyboard (ED, ep 2)</v>
      </c>
    </row>
    <row r="413" spans="1:35" x14ac:dyDescent="0.3">
      <c r="A413" t="s">
        <v>404</v>
      </c>
      <c r="B413" s="5">
        <v>75</v>
      </c>
      <c r="C413" s="9">
        <v>2</v>
      </c>
      <c r="D413" s="6">
        <v>2.8109627547434998E-4</v>
      </c>
      <c r="E413" s="7">
        <v>2.10822206605762E-2</v>
      </c>
      <c r="G413" s="3" t="str">
        <f t="shared" si="70"/>
        <v/>
      </c>
      <c r="H413" s="3"/>
      <c r="J413" s="3" t="str">
        <f t="shared" si="71"/>
        <v/>
      </c>
      <c r="K413" s="3"/>
      <c r="M413" s="3" t="str">
        <f t="shared" si="72"/>
        <v/>
      </c>
      <c r="N413" s="3"/>
      <c r="P413" s="3" t="str">
        <f t="shared" si="73"/>
        <v/>
      </c>
      <c r="Q413" s="3"/>
      <c r="S413" s="3" t="str">
        <f t="shared" si="74"/>
        <v/>
      </c>
      <c r="T413" s="3"/>
      <c r="V413" s="3" t="str">
        <f t="shared" si="75"/>
        <v/>
      </c>
      <c r="W413" s="3"/>
      <c r="Y413" s="3" t="str">
        <f t="shared" si="76"/>
        <v/>
      </c>
      <c r="Z413" s="3"/>
      <c r="AB413" s="3" t="str">
        <f t="shared" si="77"/>
        <v/>
      </c>
      <c r="AC413" s="3"/>
      <c r="AE413" s="3">
        <f t="shared" si="78"/>
        <v>407</v>
      </c>
      <c r="AF413" s="3" t="str">
        <v>Staff: Takahiko Yoshida (Character Design)</v>
      </c>
      <c r="AH413" s="3">
        <f t="shared" si="69"/>
        <v>407</v>
      </c>
      <c r="AI413" s="3" t="str">
        <v>Staff Role: Episode Director (ED, ep 2)</v>
      </c>
    </row>
    <row r="414" spans="1:35" x14ac:dyDescent="0.3">
      <c r="A414" t="s">
        <v>410</v>
      </c>
      <c r="B414" s="5">
        <v>75</v>
      </c>
      <c r="C414" s="9">
        <v>2</v>
      </c>
      <c r="D414" s="6">
        <v>2.8109627547434998E-4</v>
      </c>
      <c r="E414" s="7">
        <v>2.10822206605762E-2</v>
      </c>
      <c r="G414" s="3" t="str">
        <f t="shared" si="70"/>
        <v/>
      </c>
      <c r="H414" s="3"/>
      <c r="J414" s="3" t="str">
        <f t="shared" si="71"/>
        <v/>
      </c>
      <c r="K414" s="3"/>
      <c r="M414" s="3" t="str">
        <f t="shared" si="72"/>
        <v/>
      </c>
      <c r="N414" s="3"/>
      <c r="P414" s="3" t="str">
        <f t="shared" si="73"/>
        <v/>
      </c>
      <c r="Q414" s="3"/>
      <c r="S414" s="3" t="str">
        <f t="shared" si="74"/>
        <v/>
      </c>
      <c r="T414" s="3"/>
      <c r="V414" s="3" t="str">
        <f t="shared" si="75"/>
        <v/>
      </c>
      <c r="W414" s="3"/>
      <c r="Y414" s="3" t="str">
        <f t="shared" si="76"/>
        <v/>
      </c>
      <c r="Z414" s="3"/>
      <c r="AB414" s="3" t="str">
        <f t="shared" si="77"/>
        <v/>
      </c>
      <c r="AC414" s="3"/>
      <c r="AE414" s="3">
        <f t="shared" si="78"/>
        <v>408</v>
      </c>
      <c r="AF414" s="3" t="str">
        <v>Staff: Takahiko Yoshida (Chief Animation Director (eps 1-8, 10-13))</v>
      </c>
      <c r="AH414" s="3">
        <f t="shared" si="69"/>
        <v>408</v>
      </c>
      <c r="AI414" s="3" t="str">
        <v>Staff Role: Theme Song Arrangement</v>
      </c>
    </row>
    <row r="415" spans="1:35" x14ac:dyDescent="0.3">
      <c r="A415" t="s">
        <v>414</v>
      </c>
      <c r="B415" s="5">
        <v>75</v>
      </c>
      <c r="C415" s="9">
        <v>2</v>
      </c>
      <c r="D415" s="6">
        <v>2.8109627547434998E-4</v>
      </c>
      <c r="E415" s="7">
        <v>2.10822206605762E-2</v>
      </c>
      <c r="G415" s="3" t="str">
        <f t="shared" si="70"/>
        <v/>
      </c>
      <c r="H415" s="3"/>
      <c r="J415" s="3" t="str">
        <f t="shared" si="71"/>
        <v/>
      </c>
      <c r="K415" s="3"/>
      <c r="M415" s="3" t="str">
        <f t="shared" si="72"/>
        <v/>
      </c>
      <c r="N415" s="3"/>
      <c r="P415" s="3" t="str">
        <f t="shared" si="73"/>
        <v/>
      </c>
      <c r="Q415" s="3"/>
      <c r="S415" s="3" t="str">
        <f t="shared" si="74"/>
        <v/>
      </c>
      <c r="T415" s="3"/>
      <c r="V415" s="3" t="str">
        <f t="shared" si="75"/>
        <v/>
      </c>
      <c r="W415" s="3"/>
      <c r="Y415" s="3" t="str">
        <f t="shared" si="76"/>
        <v/>
      </c>
      <c r="Z415" s="3"/>
      <c r="AB415" s="3" t="str">
        <f t="shared" si="77"/>
        <v/>
      </c>
      <c r="AC415" s="3"/>
      <c r="AE415" s="3">
        <f t="shared" si="78"/>
        <v>409</v>
      </c>
      <c r="AF415" s="3" t="str">
        <v>Staff: ClariS  (Theme Song Performance (ED))</v>
      </c>
      <c r="AH415" s="3">
        <f t="shared" si="69"/>
        <v>409</v>
      </c>
      <c r="AI415" s="3" t="str">
        <v>Staff Role: Storyboard  (ep 4, 7)</v>
      </c>
    </row>
    <row r="416" spans="1:35" x14ac:dyDescent="0.3">
      <c r="A416" t="s">
        <v>471</v>
      </c>
      <c r="B416" s="5">
        <v>75</v>
      </c>
      <c r="C416" s="9">
        <v>2</v>
      </c>
      <c r="D416" s="6">
        <v>2.8109627547434998E-4</v>
      </c>
      <c r="E416" s="7">
        <v>2.10822206605762E-2</v>
      </c>
      <c r="G416" s="3" t="str">
        <f t="shared" si="70"/>
        <v/>
      </c>
      <c r="H416" s="3"/>
      <c r="J416" s="3" t="str">
        <f t="shared" si="71"/>
        <v/>
      </c>
      <c r="K416" s="3"/>
      <c r="M416" s="3" t="str">
        <f t="shared" si="72"/>
        <v/>
      </c>
      <c r="N416" s="3"/>
      <c r="P416" s="3" t="str">
        <f t="shared" si="73"/>
        <v/>
      </c>
      <c r="Q416" s="3"/>
      <c r="S416" s="3" t="str">
        <f t="shared" si="74"/>
        <v/>
      </c>
      <c r="T416" s="3"/>
      <c r="V416" s="3" t="str">
        <f t="shared" si="75"/>
        <v/>
      </c>
      <c r="W416" s="3"/>
      <c r="Y416" s="3" t="str">
        <f t="shared" si="76"/>
        <v/>
      </c>
      <c r="Z416" s="3"/>
      <c r="AB416" s="3" t="str">
        <f t="shared" si="77"/>
        <v/>
      </c>
      <c r="AC416" s="3"/>
      <c r="AE416" s="3">
        <f t="shared" si="78"/>
        <v>410</v>
      </c>
      <c r="AF416" s="3" t="str">
        <v>Staff: Katharina von Daake (Script (German))</v>
      </c>
      <c r="AH416" s="3">
        <f t="shared" si="69"/>
        <v>410</v>
      </c>
      <c r="AI416" s="3" t="str">
        <v>Staff Role: Animation Director  (ep. 12)</v>
      </c>
    </row>
    <row r="417" spans="1:35" x14ac:dyDescent="0.3">
      <c r="A417" t="s">
        <v>517</v>
      </c>
      <c r="B417" s="5">
        <v>75</v>
      </c>
      <c r="C417" s="9">
        <v>2</v>
      </c>
      <c r="D417" s="6">
        <v>2.8109627547434998E-4</v>
      </c>
      <c r="E417" s="7">
        <v>2.10822206605762E-2</v>
      </c>
      <c r="G417" s="3" t="str">
        <f t="shared" si="70"/>
        <v/>
      </c>
      <c r="H417" s="3"/>
      <c r="J417" s="3" t="str">
        <f t="shared" si="71"/>
        <v/>
      </c>
      <c r="K417" s="3"/>
      <c r="M417" s="3" t="str">
        <f t="shared" si="72"/>
        <v/>
      </c>
      <c r="N417" s="3"/>
      <c r="P417" s="3" t="str">
        <f t="shared" si="73"/>
        <v/>
      </c>
      <c r="Q417" s="3"/>
      <c r="S417" s="3" t="str">
        <f t="shared" si="74"/>
        <v/>
      </c>
      <c r="T417" s="3"/>
      <c r="V417" s="3" t="str">
        <f t="shared" si="75"/>
        <v/>
      </c>
      <c r="W417" s="3"/>
      <c r="Y417" s="3" t="str">
        <f t="shared" si="76"/>
        <v/>
      </c>
      <c r="Z417" s="3"/>
      <c r="AB417" s="3" t="str">
        <f t="shared" si="77"/>
        <v/>
      </c>
      <c r="AC417" s="3"/>
      <c r="AE417" s="3">
        <f t="shared" si="78"/>
        <v>411</v>
      </c>
      <c r="AF417" s="3" t="str">
        <v>Staff: Katharina von Daake (ADR Director (German))</v>
      </c>
      <c r="AH417" s="3">
        <f t="shared" si="69"/>
        <v>411</v>
      </c>
      <c r="AI417" s="3" t="str">
        <v>Staff Role: Storyboard  (eps 4, 8, 12-13)</v>
      </c>
    </row>
    <row r="418" spans="1:35" x14ac:dyDescent="0.3">
      <c r="A418" t="s">
        <v>576</v>
      </c>
      <c r="B418" s="5">
        <v>75</v>
      </c>
      <c r="C418" s="9">
        <v>2</v>
      </c>
      <c r="D418" s="6">
        <v>2.8109627547434998E-4</v>
      </c>
      <c r="E418" s="7">
        <v>2.10822206605762E-2</v>
      </c>
      <c r="G418" s="3" t="str">
        <f t="shared" si="70"/>
        <v/>
      </c>
      <c r="H418" s="3"/>
      <c r="J418" s="3" t="str">
        <f t="shared" si="71"/>
        <v/>
      </c>
      <c r="K418" s="3"/>
      <c r="M418" s="3" t="str">
        <f t="shared" si="72"/>
        <v/>
      </c>
      <c r="N418" s="3"/>
      <c r="P418" s="3" t="str">
        <f t="shared" si="73"/>
        <v/>
      </c>
      <c r="Q418" s="3"/>
      <c r="S418" s="3" t="str">
        <f t="shared" si="74"/>
        <v/>
      </c>
      <c r="T418" s="3"/>
      <c r="V418" s="3" t="str">
        <f t="shared" si="75"/>
        <v/>
      </c>
      <c r="W418" s="3"/>
      <c r="Y418" s="3" t="str">
        <f t="shared" si="76"/>
        <v/>
      </c>
      <c r="Z418" s="3"/>
      <c r="AB418" s="3" t="str">
        <f t="shared" si="77"/>
        <v/>
      </c>
      <c r="AC418" s="3"/>
      <c r="AE418" s="3">
        <f t="shared" si="78"/>
        <v>412</v>
      </c>
      <c r="AF418" s="3" t="str">
        <v>Staff: Kana Hanazawa (Theme Song Performance (OP))</v>
      </c>
      <c r="AH418" s="3">
        <f t="shared" si="69"/>
        <v>412</v>
      </c>
      <c r="AI418" s="3" t="str">
        <v>Staff Role: Script (eps 3, 7, 11)</v>
      </c>
    </row>
    <row r="419" spans="1:35" x14ac:dyDescent="0.3">
      <c r="A419" t="s">
        <v>613</v>
      </c>
      <c r="B419" s="5">
        <v>75</v>
      </c>
      <c r="C419" s="9">
        <v>2</v>
      </c>
      <c r="D419" s="6">
        <v>2.8109627547434998E-4</v>
      </c>
      <c r="E419" s="7">
        <v>2.10822206605762E-2</v>
      </c>
      <c r="G419" s="3" t="str">
        <f t="shared" si="70"/>
        <v/>
      </c>
      <c r="H419" s="3"/>
      <c r="J419" s="3" t="str">
        <f t="shared" si="71"/>
        <v/>
      </c>
      <c r="K419" s="3"/>
      <c r="M419" s="3" t="str">
        <f t="shared" si="72"/>
        <v/>
      </c>
      <c r="N419" s="3"/>
      <c r="P419" s="3" t="str">
        <f t="shared" si="73"/>
        <v/>
      </c>
      <c r="Q419" s="3"/>
      <c r="S419" s="3" t="str">
        <f t="shared" si="74"/>
        <v/>
      </c>
      <c r="T419" s="3"/>
      <c r="V419" s="3" t="str">
        <f t="shared" si="75"/>
        <v/>
      </c>
      <c r="W419" s="3"/>
      <c r="Y419" s="3" t="str">
        <f t="shared" si="76"/>
        <v/>
      </c>
      <c r="Z419" s="3"/>
      <c r="AB419" s="3" t="str">
        <f t="shared" si="77"/>
        <v/>
      </c>
      <c r="AC419" s="3"/>
      <c r="AE419" s="3">
        <f t="shared" si="78"/>
        <v>413</v>
      </c>
      <c r="AF419" s="3" t="str">
        <v>Staff: Tomoaki Maeno (Theme Song Performance (OP))</v>
      </c>
      <c r="AH419" s="3">
        <f t="shared" si="69"/>
        <v>413</v>
      </c>
      <c r="AI419" s="3" t="str">
        <v>Staff Role: Script (eps 1, 5, 9, 12)</v>
      </c>
    </row>
    <row r="420" spans="1:35" x14ac:dyDescent="0.3">
      <c r="A420" t="s">
        <v>621</v>
      </c>
      <c r="B420" s="5">
        <v>75</v>
      </c>
      <c r="C420" s="9">
        <v>2</v>
      </c>
      <c r="D420" s="6">
        <v>2.8109627547434998E-4</v>
      </c>
      <c r="E420" s="7">
        <v>2.10822206605762E-2</v>
      </c>
      <c r="G420" s="3" t="str">
        <f t="shared" si="70"/>
        <v/>
      </c>
      <c r="H420" s="3"/>
      <c r="J420" s="3" t="str">
        <f t="shared" si="71"/>
        <v/>
      </c>
      <c r="K420" s="3"/>
      <c r="M420" s="3" t="str">
        <f t="shared" si="72"/>
        <v/>
      </c>
      <c r="N420" s="3"/>
      <c r="P420" s="3" t="str">
        <f t="shared" si="73"/>
        <v/>
      </c>
      <c r="Q420" s="3"/>
      <c r="S420" s="3" t="str">
        <f t="shared" si="74"/>
        <v/>
      </c>
      <c r="T420" s="3"/>
      <c r="V420" s="3" t="str">
        <f t="shared" si="75"/>
        <v/>
      </c>
      <c r="W420" s="3"/>
      <c r="Y420" s="3" t="str">
        <f t="shared" si="76"/>
        <v/>
      </c>
      <c r="Z420" s="3"/>
      <c r="AB420" s="3" t="str">
        <f t="shared" si="77"/>
        <v/>
      </c>
      <c r="AC420" s="3"/>
      <c r="AE420" s="3">
        <f t="shared" si="78"/>
        <v>414</v>
      </c>
      <c r="AF420" s="3" t="str">
        <v>Staff: Kikuko Inoue (Theme Song Performance (OP))</v>
      </c>
      <c r="AH420" s="3">
        <f t="shared" si="69"/>
        <v>414</v>
      </c>
      <c r="AI420" s="3" t="str">
        <v>Staff Role: Script (eps 2, 6, 10)</v>
      </c>
    </row>
    <row r="421" spans="1:35" x14ac:dyDescent="0.3">
      <c r="A421" t="s">
        <v>625</v>
      </c>
      <c r="B421" s="5">
        <v>75</v>
      </c>
      <c r="C421" s="9">
        <v>2</v>
      </c>
      <c r="D421" s="6">
        <v>2.8109627547434998E-4</v>
      </c>
      <c r="E421" s="7">
        <v>2.10822206605762E-2</v>
      </c>
      <c r="G421" s="3" t="str">
        <f t="shared" si="70"/>
        <v/>
      </c>
      <c r="H421" s="3"/>
      <c r="J421" s="3" t="str">
        <f t="shared" si="71"/>
        <v/>
      </c>
      <c r="K421" s="3"/>
      <c r="M421" s="3" t="str">
        <f t="shared" si="72"/>
        <v/>
      </c>
      <c r="N421" s="3"/>
      <c r="P421" s="3" t="str">
        <f t="shared" si="73"/>
        <v/>
      </c>
      <c r="Q421" s="3"/>
      <c r="S421" s="3" t="str">
        <f t="shared" si="74"/>
        <v/>
      </c>
      <c r="T421" s="3"/>
      <c r="V421" s="3" t="str">
        <f t="shared" si="75"/>
        <v/>
      </c>
      <c r="W421" s="3"/>
      <c r="Y421" s="3" t="str">
        <f t="shared" si="76"/>
        <v/>
      </c>
      <c r="Z421" s="3"/>
      <c r="AB421" s="3" t="str">
        <f t="shared" si="77"/>
        <v/>
      </c>
      <c r="AC421" s="3"/>
      <c r="AE421" s="3">
        <f t="shared" si="78"/>
        <v>415</v>
      </c>
      <c r="AF421" s="3" t="str">
        <v>Staff: Kouji Kajita (Planning)</v>
      </c>
      <c r="AH421" s="3">
        <f t="shared" si="69"/>
        <v>415</v>
      </c>
      <c r="AI421" s="3" t="str">
        <v>Staff Role: Background Art (eps 1, 3, 4)</v>
      </c>
    </row>
    <row r="422" spans="1:35" x14ac:dyDescent="0.3">
      <c r="A422" t="s">
        <v>641</v>
      </c>
      <c r="B422" s="5">
        <v>75</v>
      </c>
      <c r="C422" s="9">
        <v>2</v>
      </c>
      <c r="D422" s="6">
        <v>2.8109627547434998E-4</v>
      </c>
      <c r="E422" s="7">
        <v>2.10822206605762E-2</v>
      </c>
      <c r="G422" s="3" t="str">
        <f t="shared" si="70"/>
        <v/>
      </c>
      <c r="H422" s="3"/>
      <c r="J422" s="3" t="str">
        <f t="shared" si="71"/>
        <v/>
      </c>
      <c r="K422" s="3"/>
      <c r="M422" s="3" t="str">
        <f t="shared" si="72"/>
        <v/>
      </c>
      <c r="N422" s="3"/>
      <c r="P422" s="3" t="str">
        <f t="shared" si="73"/>
        <v/>
      </c>
      <c r="Q422" s="3"/>
      <c r="S422" s="3" t="str">
        <f t="shared" si="74"/>
        <v/>
      </c>
      <c r="T422" s="3"/>
      <c r="V422" s="3" t="str">
        <f t="shared" si="75"/>
        <v/>
      </c>
      <c r="W422" s="3"/>
      <c r="Y422" s="3" t="str">
        <f t="shared" si="76"/>
        <v/>
      </c>
      <c r="Z422" s="3"/>
      <c r="AB422" s="3" t="str">
        <f t="shared" si="77"/>
        <v/>
      </c>
      <c r="AC422" s="3"/>
      <c r="AE422" s="3">
        <f t="shared" si="78"/>
        <v>416</v>
      </c>
      <c r="AF422" s="3" t="str">
        <v>Staff: Kenta Mimuro (Prop Design)</v>
      </c>
      <c r="AH422" s="3">
        <f t="shared" si="69"/>
        <v>416</v>
      </c>
      <c r="AI422" s="3" t="str">
        <v>Staff Role: Production Generalization</v>
      </c>
    </row>
    <row r="423" spans="1:35" x14ac:dyDescent="0.3">
      <c r="A423" t="s">
        <v>708</v>
      </c>
      <c r="B423" s="5">
        <v>75</v>
      </c>
      <c r="C423" s="9">
        <v>2</v>
      </c>
      <c r="D423" s="6">
        <v>2.8109627547434998E-4</v>
      </c>
      <c r="E423" s="7">
        <v>2.10822206605762E-2</v>
      </c>
      <c r="G423" s="3" t="str">
        <f t="shared" si="70"/>
        <v/>
      </c>
      <c r="H423" s="3"/>
      <c r="J423" s="3" t="str">
        <f t="shared" si="71"/>
        <v/>
      </c>
      <c r="K423" s="3"/>
      <c r="M423" s="3" t="str">
        <f t="shared" si="72"/>
        <v/>
      </c>
      <c r="N423" s="3"/>
      <c r="P423" s="3" t="str">
        <f t="shared" si="73"/>
        <v/>
      </c>
      <c r="Q423" s="3"/>
      <c r="S423" s="3" t="str">
        <f t="shared" si="74"/>
        <v/>
      </c>
      <c r="T423" s="3"/>
      <c r="V423" s="3" t="str">
        <f t="shared" si="75"/>
        <v/>
      </c>
      <c r="W423" s="3"/>
      <c r="Y423" s="3" t="str">
        <f t="shared" si="76"/>
        <v/>
      </c>
      <c r="Z423" s="3"/>
      <c r="AB423" s="3" t="str">
        <f t="shared" si="77"/>
        <v/>
      </c>
      <c r="AC423" s="3"/>
      <c r="AE423" s="3">
        <f t="shared" si="78"/>
        <v>417</v>
      </c>
      <c r="AF423" s="3" t="str">
        <v>Staff: Masanori Miyake (Production)</v>
      </c>
      <c r="AH423" s="3">
        <f t="shared" si="69"/>
        <v>417</v>
      </c>
      <c r="AI423" s="3" t="str">
        <v>Staff Role: Assistant Art Director</v>
      </c>
    </row>
    <row r="424" spans="1:35" x14ac:dyDescent="0.3">
      <c r="A424" t="s">
        <v>766</v>
      </c>
      <c r="B424" s="5">
        <v>75</v>
      </c>
      <c r="C424" s="9">
        <v>2</v>
      </c>
      <c r="D424" s="6">
        <v>2.8109627547434998E-4</v>
      </c>
      <c r="E424" s="7">
        <v>2.10822206605762E-2</v>
      </c>
      <c r="G424" s="3" t="str">
        <f t="shared" si="70"/>
        <v/>
      </c>
      <c r="H424" s="3"/>
      <c r="J424" s="3" t="str">
        <f t="shared" si="71"/>
        <v/>
      </c>
      <c r="K424" s="3"/>
      <c r="M424" s="3" t="str">
        <f t="shared" si="72"/>
        <v/>
      </c>
      <c r="N424" s="3"/>
      <c r="P424" s="3" t="str">
        <f t="shared" si="73"/>
        <v/>
      </c>
      <c r="Q424" s="3"/>
      <c r="S424" s="3" t="str">
        <f t="shared" si="74"/>
        <v/>
      </c>
      <c r="T424" s="3"/>
      <c r="V424" s="3" t="str">
        <f t="shared" si="75"/>
        <v/>
      </c>
      <c r="W424" s="3"/>
      <c r="Y424" s="3" t="str">
        <f t="shared" si="76"/>
        <v/>
      </c>
      <c r="Z424" s="3"/>
      <c r="AB424" s="3" t="str">
        <f t="shared" si="77"/>
        <v/>
      </c>
      <c r="AC424" s="3"/>
      <c r="AE424" s="3">
        <f t="shared" si="78"/>
        <v>418</v>
      </c>
      <c r="AF424" s="3" t="str">
        <v>Staff: Keiko Tamaki (Sub Character Design)</v>
      </c>
      <c r="AH424" s="3">
        <f t="shared" si="69"/>
        <v>418</v>
      </c>
      <c r="AI424" s="3" t="str">
        <v>Staff Role: Recording Assistant</v>
      </c>
    </row>
    <row r="425" spans="1:35" x14ac:dyDescent="0.3">
      <c r="A425" t="s">
        <v>768</v>
      </c>
      <c r="B425" s="5">
        <v>75</v>
      </c>
      <c r="C425" s="9">
        <v>2</v>
      </c>
      <c r="D425" s="6">
        <v>2.8109627547434998E-4</v>
      </c>
      <c r="E425" s="7">
        <v>2.10822206605762E-2</v>
      </c>
      <c r="G425" s="3" t="str">
        <f t="shared" si="70"/>
        <v/>
      </c>
      <c r="H425" s="3"/>
      <c r="J425" s="3" t="str">
        <f t="shared" si="71"/>
        <v/>
      </c>
      <c r="K425" s="3"/>
      <c r="M425" s="3" t="str">
        <f t="shared" si="72"/>
        <v/>
      </c>
      <c r="N425" s="3"/>
      <c r="P425" s="3" t="str">
        <f t="shared" si="73"/>
        <v/>
      </c>
      <c r="Q425" s="3"/>
      <c r="S425" s="3" t="str">
        <f t="shared" si="74"/>
        <v/>
      </c>
      <c r="T425" s="3"/>
      <c r="V425" s="3" t="str">
        <f t="shared" si="75"/>
        <v/>
      </c>
      <c r="W425" s="3"/>
      <c r="Y425" s="3" t="str">
        <f t="shared" si="76"/>
        <v/>
      </c>
      <c r="Z425" s="3"/>
      <c r="AB425" s="3" t="str">
        <f t="shared" si="77"/>
        <v/>
      </c>
      <c r="AC425" s="3"/>
      <c r="AE425" s="3">
        <f t="shared" si="78"/>
        <v>419</v>
      </c>
      <c r="AF425" s="3" t="str">
        <v>Staff: Takuya Matsushita (Production)</v>
      </c>
      <c r="AH425" s="3">
        <f t="shared" si="69"/>
        <v>419</v>
      </c>
      <c r="AI425" s="3" t="str">
        <v>Staff Role: Episode Director (eps 1-12)</v>
      </c>
    </row>
    <row r="426" spans="1:35" x14ac:dyDescent="0.3">
      <c r="A426" t="s">
        <v>795</v>
      </c>
      <c r="B426" s="5">
        <v>75</v>
      </c>
      <c r="C426" s="9">
        <v>2</v>
      </c>
      <c r="D426" s="6">
        <v>2.8109627547434998E-4</v>
      </c>
      <c r="E426" s="7">
        <v>2.10822206605762E-2</v>
      </c>
      <c r="G426" s="3" t="str">
        <f t="shared" si="70"/>
        <v/>
      </c>
      <c r="H426" s="3"/>
      <c r="J426" s="3" t="str">
        <f t="shared" si="71"/>
        <v/>
      </c>
      <c r="K426" s="3"/>
      <c r="M426" s="3" t="str">
        <f t="shared" si="72"/>
        <v/>
      </c>
      <c r="N426" s="3"/>
      <c r="P426" s="3" t="str">
        <f t="shared" si="73"/>
        <v/>
      </c>
      <c r="Q426" s="3"/>
      <c r="S426" s="3" t="str">
        <f t="shared" si="74"/>
        <v/>
      </c>
      <c r="T426" s="3"/>
      <c r="V426" s="3" t="str">
        <f t="shared" si="75"/>
        <v/>
      </c>
      <c r="W426" s="3"/>
      <c r="Y426" s="3" t="str">
        <f t="shared" si="76"/>
        <v/>
      </c>
      <c r="Z426" s="3"/>
      <c r="AB426" s="3" t="str">
        <f t="shared" si="77"/>
        <v/>
      </c>
      <c r="AC426" s="3"/>
      <c r="AE426" s="3">
        <f t="shared" si="78"/>
        <v>420</v>
      </c>
      <c r="AF426" s="3" t="str">
        <v>Staff: Kouji Hashiguchi (Art Design)</v>
      </c>
      <c r="AH426" s="3">
        <f t="shared" si="69"/>
        <v>420</v>
      </c>
      <c r="AI426" s="3" t="str">
        <v>Staff Role: Storyboard (OP, eps 1, 3, 12, 13)</v>
      </c>
    </row>
    <row r="427" spans="1:35" x14ac:dyDescent="0.3">
      <c r="A427" t="s">
        <v>796</v>
      </c>
      <c r="B427" s="5">
        <v>75</v>
      </c>
      <c r="C427" s="9">
        <v>2</v>
      </c>
      <c r="D427" s="6">
        <v>2.8109627547434998E-4</v>
      </c>
      <c r="E427" s="7">
        <v>2.10822206605762E-2</v>
      </c>
      <c r="G427" s="3" t="str">
        <f t="shared" si="70"/>
        <v/>
      </c>
      <c r="H427" s="3"/>
      <c r="J427" s="3" t="str">
        <f t="shared" si="71"/>
        <v/>
      </c>
      <c r="K427" s="3"/>
      <c r="M427" s="3" t="str">
        <f t="shared" si="72"/>
        <v/>
      </c>
      <c r="N427" s="3"/>
      <c r="P427" s="3" t="str">
        <f t="shared" si="73"/>
        <v/>
      </c>
      <c r="Q427" s="3"/>
      <c r="S427" s="3" t="str">
        <f t="shared" si="74"/>
        <v/>
      </c>
      <c r="T427" s="3"/>
      <c r="V427" s="3" t="str">
        <f t="shared" si="75"/>
        <v/>
      </c>
      <c r="W427" s="3"/>
      <c r="Y427" s="3" t="str">
        <f t="shared" si="76"/>
        <v/>
      </c>
      <c r="Z427" s="3"/>
      <c r="AB427" s="3" t="str">
        <f t="shared" si="77"/>
        <v/>
      </c>
      <c r="AC427" s="3"/>
      <c r="AE427" s="3">
        <f t="shared" si="78"/>
        <v>421</v>
      </c>
      <c r="AF427" s="3" t="str">
        <v>Staff: Aiko Mizuno (Color Design)</v>
      </c>
      <c r="AH427" s="3">
        <f t="shared" si="69"/>
        <v>421</v>
      </c>
      <c r="AI427" s="3" t="str">
        <v>Staff Role: Unit Director (OP)</v>
      </c>
    </row>
    <row r="428" spans="1:35" x14ac:dyDescent="0.3">
      <c r="A428" t="s">
        <v>813</v>
      </c>
      <c r="B428" s="5">
        <v>75</v>
      </c>
      <c r="C428" s="9">
        <v>2</v>
      </c>
      <c r="D428" s="6">
        <v>2.8109627547434998E-4</v>
      </c>
      <c r="E428" s="7">
        <v>2.10822206605762E-2</v>
      </c>
      <c r="G428" s="3" t="str">
        <f t="shared" si="70"/>
        <v/>
      </c>
      <c r="H428" s="3"/>
      <c r="J428" s="3" t="str">
        <f t="shared" si="71"/>
        <v/>
      </c>
      <c r="K428" s="3"/>
      <c r="M428" s="3" t="str">
        <f t="shared" si="72"/>
        <v/>
      </c>
      <c r="N428" s="3"/>
      <c r="P428" s="3" t="str">
        <f t="shared" si="73"/>
        <v/>
      </c>
      <c r="Q428" s="3"/>
      <c r="S428" s="3" t="str">
        <f t="shared" si="74"/>
        <v/>
      </c>
      <c r="T428" s="3"/>
      <c r="V428" s="3" t="str">
        <f t="shared" si="75"/>
        <v/>
      </c>
      <c r="W428" s="3"/>
      <c r="Y428" s="3" t="str">
        <f t="shared" si="76"/>
        <v/>
      </c>
      <c r="Z428" s="3"/>
      <c r="AB428" s="3" t="str">
        <f t="shared" si="77"/>
        <v/>
      </c>
      <c r="AC428" s="3"/>
      <c r="AE428" s="3">
        <f t="shared" si="78"/>
        <v>422</v>
      </c>
      <c r="AF428" s="3" t="str">
        <v>Staff: Masao Ootake (Original Creator)</v>
      </c>
      <c r="AH428" s="3">
        <f t="shared" si="69"/>
        <v>422</v>
      </c>
      <c r="AI428" s="3" t="str">
        <v>Staff Role: Storyboard (eps 6, 11)</v>
      </c>
    </row>
    <row r="429" spans="1:35" x14ac:dyDescent="0.3">
      <c r="A429" t="s">
        <v>857</v>
      </c>
      <c r="B429" s="5">
        <v>75</v>
      </c>
      <c r="C429" s="9">
        <v>2</v>
      </c>
      <c r="D429" s="6">
        <v>2.8109627547434998E-4</v>
      </c>
      <c r="E429" s="7">
        <v>2.10822206605762E-2</v>
      </c>
      <c r="G429" s="3" t="str">
        <f t="shared" si="70"/>
        <v/>
      </c>
      <c r="H429" s="3"/>
      <c r="J429" s="3" t="str">
        <f t="shared" si="71"/>
        <v/>
      </c>
      <c r="K429" s="3"/>
      <c r="M429" s="3" t="str">
        <f t="shared" si="72"/>
        <v/>
      </c>
      <c r="N429" s="3"/>
      <c r="P429" s="3" t="str">
        <f t="shared" si="73"/>
        <v/>
      </c>
      <c r="Q429" s="3"/>
      <c r="S429" s="3" t="str">
        <f t="shared" si="74"/>
        <v/>
      </c>
      <c r="T429" s="3"/>
      <c r="V429" s="3" t="str">
        <f t="shared" si="75"/>
        <v/>
      </c>
      <c r="W429" s="3"/>
      <c r="Y429" s="3" t="str">
        <f t="shared" si="76"/>
        <v/>
      </c>
      <c r="Z429" s="3"/>
      <c r="AB429" s="3" t="str">
        <f t="shared" si="77"/>
        <v/>
      </c>
      <c r="AC429" s="3"/>
      <c r="AE429" s="3">
        <f t="shared" si="78"/>
        <v>423</v>
      </c>
      <c r="AF429" s="3" t="str">
        <v>Staff: Kanetoshi Kamimoto (Character Design)</v>
      </c>
      <c r="AH429" s="3">
        <f t="shared" si="69"/>
        <v>423</v>
      </c>
      <c r="AI429" s="3" t="str">
        <v>Staff Role: ADR Director (French)</v>
      </c>
    </row>
    <row r="430" spans="1:35" x14ac:dyDescent="0.3">
      <c r="A430" t="s">
        <v>862</v>
      </c>
      <c r="B430" s="5">
        <v>75</v>
      </c>
      <c r="C430" s="9">
        <v>2</v>
      </c>
      <c r="D430" s="6">
        <v>2.8109627547434998E-4</v>
      </c>
      <c r="E430" s="7">
        <v>2.10822206605762E-2</v>
      </c>
      <c r="G430" s="3" t="str">
        <f t="shared" si="70"/>
        <v/>
      </c>
      <c r="H430" s="3"/>
      <c r="J430" s="3" t="str">
        <f t="shared" si="71"/>
        <v/>
      </c>
      <c r="K430" s="3"/>
      <c r="M430" s="3" t="str">
        <f t="shared" si="72"/>
        <v/>
      </c>
      <c r="N430" s="3"/>
      <c r="P430" s="3" t="str">
        <f t="shared" si="73"/>
        <v/>
      </c>
      <c r="Q430" s="3"/>
      <c r="S430" s="3" t="str">
        <f t="shared" si="74"/>
        <v/>
      </c>
      <c r="T430" s="3"/>
      <c r="V430" s="3" t="str">
        <f t="shared" si="75"/>
        <v/>
      </c>
      <c r="W430" s="3"/>
      <c r="Y430" s="3" t="str">
        <f t="shared" si="76"/>
        <v/>
      </c>
      <c r="Z430" s="3"/>
      <c r="AB430" s="3" t="str">
        <f t="shared" si="77"/>
        <v/>
      </c>
      <c r="AC430" s="3"/>
      <c r="AE430" s="3">
        <f t="shared" si="78"/>
        <v>424</v>
      </c>
      <c r="AF430" s="3" t="str">
        <v>Staff: Keiichirou Oochi (Series Composition)</v>
      </c>
      <c r="AH430" s="3">
        <f t="shared" si="69"/>
        <v>424</v>
      </c>
      <c r="AI430" s="3" t="str">
        <v>Staff Role: 2nd Key Animation (eps 3, 8)</v>
      </c>
    </row>
    <row r="431" spans="1:35" x14ac:dyDescent="0.3">
      <c r="A431" t="s">
        <v>872</v>
      </c>
      <c r="B431" s="5">
        <v>75</v>
      </c>
      <c r="C431" s="9">
        <v>2</v>
      </c>
      <c r="D431" s="6">
        <v>2.8109627547434998E-4</v>
      </c>
      <c r="E431" s="7">
        <v>2.10822206605762E-2</v>
      </c>
      <c r="G431" s="3" t="str">
        <f t="shared" si="70"/>
        <v/>
      </c>
      <c r="H431" s="3"/>
      <c r="J431" s="3" t="str">
        <f t="shared" si="71"/>
        <v/>
      </c>
      <c r="K431" s="3"/>
      <c r="M431" s="3" t="str">
        <f t="shared" si="72"/>
        <v/>
      </c>
      <c r="N431" s="3"/>
      <c r="P431" s="3" t="str">
        <f t="shared" si="73"/>
        <v/>
      </c>
      <c r="Q431" s="3"/>
      <c r="S431" s="3" t="str">
        <f t="shared" si="74"/>
        <v/>
      </c>
      <c r="T431" s="3"/>
      <c r="V431" s="3" t="str">
        <f t="shared" si="75"/>
        <v/>
      </c>
      <c r="W431" s="3"/>
      <c r="Y431" s="3" t="str">
        <f t="shared" si="76"/>
        <v/>
      </c>
      <c r="Z431" s="3"/>
      <c r="AB431" s="3" t="str">
        <f t="shared" si="77"/>
        <v/>
      </c>
      <c r="AC431" s="3"/>
      <c r="AE431" s="3">
        <f t="shared" si="78"/>
        <v>425</v>
      </c>
      <c r="AF431" s="3" t="str">
        <v>Staff: Kanetoshi Kamimoto (Chief Animation Director (ep 1-5, 7, 9, 10, 12))</v>
      </c>
      <c r="AH431" s="3">
        <f t="shared" si="69"/>
        <v>425</v>
      </c>
      <c r="AI431" s="3" t="str">
        <v>Staff Role: Key Animation (OP, eps 5, 7-9, 11, 13)</v>
      </c>
    </row>
    <row r="432" spans="1:35" x14ac:dyDescent="0.3">
      <c r="A432" t="str">
        <f>HYPERLINK("https://anilist.co/staff/142605","Staff: Kaoru Aoki (Art Design)")</f>
        <v>Staff: Kaoru Aoki (Art Design)</v>
      </c>
      <c r="B432" s="5">
        <v>75</v>
      </c>
      <c r="C432" s="9">
        <v>2</v>
      </c>
      <c r="D432" s="6">
        <v>2.8109627547434998E-4</v>
      </c>
      <c r="E432" s="7">
        <v>2.10822206605762E-2</v>
      </c>
      <c r="G432" s="3" t="str">
        <f t="shared" si="70"/>
        <v/>
      </c>
      <c r="H432" s="3"/>
      <c r="J432" s="3" t="str">
        <f t="shared" si="71"/>
        <v/>
      </c>
      <c r="K432" s="3"/>
      <c r="M432" s="3" t="str">
        <f t="shared" si="72"/>
        <v/>
      </c>
      <c r="N432" s="3"/>
      <c r="P432" s="3" t="str">
        <f t="shared" si="73"/>
        <v/>
      </c>
      <c r="Q432" s="3"/>
      <c r="S432" s="3" t="str">
        <f t="shared" si="74"/>
        <v/>
      </c>
      <c r="T432" s="3"/>
      <c r="V432" s="3" t="str">
        <f t="shared" si="75"/>
        <v/>
      </c>
      <c r="W432" s="3"/>
      <c r="Y432" s="3" t="str">
        <f t="shared" si="76"/>
        <v/>
      </c>
      <c r="Z432" s="3"/>
      <c r="AB432" s="3" t="str">
        <f t="shared" si="77"/>
        <v/>
      </c>
      <c r="AC432" s="3"/>
      <c r="AE432" s="3">
        <f t="shared" si="78"/>
        <v>426</v>
      </c>
      <c r="AF432" s="3" t="str">
        <v>Staff: Kuniaki Masuda (Chief Animation Director (eps 6, 8, 10, 11))</v>
      </c>
      <c r="AH432" s="3">
        <f t="shared" si="69"/>
        <v>426</v>
      </c>
      <c r="AI432" s="3" t="str">
        <v>Staff Role: Script (eps 6, 7, 9)</v>
      </c>
    </row>
    <row r="433" spans="1:35" x14ac:dyDescent="0.3">
      <c r="A433" t="str">
        <f>HYPERLINK("https://anilist.co/staff/146397","Staff: Toshiyuki Aoshima (Director of Photography)")</f>
        <v>Staff: Toshiyuki Aoshima (Director of Photography)</v>
      </c>
      <c r="B433" s="5">
        <v>75</v>
      </c>
      <c r="C433" s="9">
        <v>2</v>
      </c>
      <c r="D433" s="6">
        <v>2.8109627547434998E-4</v>
      </c>
      <c r="E433" s="7">
        <v>2.10822206605762E-2</v>
      </c>
      <c r="G433" s="3" t="str">
        <f t="shared" si="70"/>
        <v/>
      </c>
      <c r="H433" s="3"/>
      <c r="J433" s="3" t="str">
        <f t="shared" si="71"/>
        <v/>
      </c>
      <c r="K433" s="3"/>
      <c r="M433" s="3" t="str">
        <f t="shared" si="72"/>
        <v/>
      </c>
      <c r="N433" s="3"/>
      <c r="P433" s="3" t="str">
        <f t="shared" si="73"/>
        <v/>
      </c>
      <c r="Q433" s="3"/>
      <c r="S433" s="3" t="str">
        <f t="shared" si="74"/>
        <v/>
      </c>
      <c r="T433" s="3"/>
      <c r="V433" s="3" t="str">
        <f t="shared" si="75"/>
        <v/>
      </c>
      <c r="W433" s="3"/>
      <c r="Y433" s="3" t="str">
        <f t="shared" si="76"/>
        <v/>
      </c>
      <c r="Z433" s="3"/>
      <c r="AB433" s="3" t="str">
        <f t="shared" si="77"/>
        <v/>
      </c>
      <c r="AC433" s="3"/>
      <c r="AE433" s="3">
        <f t="shared" si="78"/>
        <v>427</v>
      </c>
      <c r="AF433" s="3" t="str">
        <v>Staff: Tetsuya Takeuchi (Main Animator)</v>
      </c>
      <c r="AH433" s="3">
        <f t="shared" si="69"/>
        <v>427</v>
      </c>
      <c r="AI433" s="3" t="str">
        <v>Staff Role: Script (eps 1-5, 8, 10, 11)</v>
      </c>
    </row>
    <row r="434" spans="1:35" x14ac:dyDescent="0.3">
      <c r="A434" t="str">
        <f>HYPERLINK("https://anilist.co/staff/109031","Staff: Atsuhiro Iwakami (Planning)")</f>
        <v>Staff: Atsuhiro Iwakami (Planning)</v>
      </c>
      <c r="B434" s="5">
        <v>75</v>
      </c>
      <c r="C434" s="9">
        <v>2</v>
      </c>
      <c r="D434" s="6">
        <v>2.8109627547434998E-4</v>
      </c>
      <c r="E434" s="7">
        <v>2.10822206605762E-2</v>
      </c>
      <c r="G434" s="3" t="str">
        <f t="shared" si="70"/>
        <v/>
      </c>
      <c r="H434" s="3"/>
      <c r="J434" s="3" t="str">
        <f t="shared" si="71"/>
        <v/>
      </c>
      <c r="K434" s="3"/>
      <c r="M434" s="3" t="str">
        <f t="shared" si="72"/>
        <v/>
      </c>
      <c r="N434" s="3"/>
      <c r="P434" s="3" t="str">
        <f t="shared" si="73"/>
        <v/>
      </c>
      <c r="Q434" s="3"/>
      <c r="S434" s="3" t="str">
        <f t="shared" si="74"/>
        <v/>
      </c>
      <c r="T434" s="3"/>
      <c r="V434" s="3" t="str">
        <f t="shared" si="75"/>
        <v/>
      </c>
      <c r="W434" s="3"/>
      <c r="Y434" s="3" t="str">
        <f t="shared" si="76"/>
        <v/>
      </c>
      <c r="Z434" s="3"/>
      <c r="AB434" s="3" t="str">
        <f t="shared" si="77"/>
        <v/>
      </c>
      <c r="AC434" s="3"/>
      <c r="AE434" s="3">
        <f t="shared" si="78"/>
        <v>428</v>
      </c>
      <c r="AF434" s="3" t="str">
        <v>Staff: Shunichirou Yoshihara (Art Director)</v>
      </c>
      <c r="AH434" s="3">
        <f t="shared" si="69"/>
        <v>428</v>
      </c>
      <c r="AI434" s="3" t="str">
        <v>Staff Role: Theme Song Performance (ED1, ED2, ED4, OP2)</v>
      </c>
    </row>
    <row r="435" spans="1:35" x14ac:dyDescent="0.3">
      <c r="A435" t="str">
        <f>HYPERLINK("https://anilist.co/staff/108027","Staff:  Audio Highs (Music)")</f>
        <v>Staff:  Audio Highs (Music)</v>
      </c>
      <c r="B435" s="5">
        <v>75</v>
      </c>
      <c r="C435" s="9">
        <v>2</v>
      </c>
      <c r="D435" s="6">
        <v>2.8109627547434998E-4</v>
      </c>
      <c r="E435" s="7">
        <v>2.10822206605762E-2</v>
      </c>
      <c r="G435" s="3" t="str">
        <f t="shared" si="70"/>
        <v/>
      </c>
      <c r="H435" s="3"/>
      <c r="J435" s="3" t="str">
        <f t="shared" si="71"/>
        <v/>
      </c>
      <c r="K435" s="3"/>
      <c r="M435" s="3" t="str">
        <f t="shared" si="72"/>
        <v/>
      </c>
      <c r="N435" s="3"/>
      <c r="P435" s="3" t="str">
        <f t="shared" si="73"/>
        <v/>
      </c>
      <c r="Q435" s="3"/>
      <c r="S435" s="3" t="str">
        <f t="shared" si="74"/>
        <v/>
      </c>
      <c r="T435" s="3"/>
      <c r="V435" s="3" t="str">
        <f t="shared" si="75"/>
        <v/>
      </c>
      <c r="W435" s="3"/>
      <c r="Y435" s="3" t="str">
        <f t="shared" si="76"/>
        <v/>
      </c>
      <c r="Z435" s="3"/>
      <c r="AB435" s="3" t="str">
        <f t="shared" si="77"/>
        <v/>
      </c>
      <c r="AC435" s="3"/>
      <c r="AE435" s="3">
        <f t="shared" si="78"/>
        <v>429</v>
      </c>
      <c r="AF435" s="3" t="str">
        <v>Staff: Toyokazu Nakahigashi (Producer)</v>
      </c>
      <c r="AH435" s="3">
        <f t="shared" si="69"/>
        <v>429</v>
      </c>
      <c r="AI435" s="3" t="str">
        <v>Staff Role: Animation Director (ep 15, 20)</v>
      </c>
    </row>
    <row r="436" spans="1:35" x14ac:dyDescent="0.3">
      <c r="A436" t="str">
        <f>HYPERLINK("https://anilist.co/staff/97885","Staff:  Key (Original Creator)")</f>
        <v>Staff:  Key (Original Creator)</v>
      </c>
      <c r="B436" s="5">
        <v>75</v>
      </c>
      <c r="C436" s="9">
        <v>2</v>
      </c>
      <c r="D436" s="6">
        <v>2.8109627547434998E-4</v>
      </c>
      <c r="E436" s="7">
        <v>2.10822206605762E-2</v>
      </c>
      <c r="G436" s="3" t="str">
        <f t="shared" si="70"/>
        <v/>
      </c>
      <c r="H436" s="3"/>
      <c r="J436" s="3" t="str">
        <f t="shared" si="71"/>
        <v/>
      </c>
      <c r="K436" s="3"/>
      <c r="M436" s="3" t="str">
        <f t="shared" si="72"/>
        <v/>
      </c>
      <c r="N436" s="3"/>
      <c r="P436" s="3" t="str">
        <f t="shared" si="73"/>
        <v/>
      </c>
      <c r="Q436" s="3"/>
      <c r="S436" s="3" t="str">
        <f t="shared" si="74"/>
        <v/>
      </c>
      <c r="T436" s="3"/>
      <c r="V436" s="3" t="str">
        <f t="shared" si="75"/>
        <v/>
      </c>
      <c r="W436" s="3"/>
      <c r="Y436" s="3" t="str">
        <f t="shared" si="76"/>
        <v/>
      </c>
      <c r="Z436" s="3"/>
      <c r="AB436" s="3" t="str">
        <f t="shared" si="77"/>
        <v/>
      </c>
      <c r="AC436" s="3"/>
      <c r="AE436" s="3">
        <f t="shared" si="78"/>
        <v>430</v>
      </c>
      <c r="AF436" s="3" t="str">
        <v>Staff: Kazufumi Kikushima (Producer)</v>
      </c>
      <c r="AH436" s="3">
        <f t="shared" si="69"/>
        <v>430</v>
      </c>
      <c r="AI436" s="3" t="str">
        <v>Staff Role: 2nd Key Animation (ep 3, 13, 21, 22)</v>
      </c>
    </row>
    <row r="437" spans="1:35" x14ac:dyDescent="0.3">
      <c r="A437" t="str">
        <f>HYPERLINK("https://anilist.co/staff/142691","Staff: Naohiro Tafu (Producer)")</f>
        <v>Staff: Naohiro Tafu (Producer)</v>
      </c>
      <c r="B437" s="5">
        <v>75</v>
      </c>
      <c r="C437" s="9">
        <v>2</v>
      </c>
      <c r="D437" s="6">
        <v>2.8109627547434998E-4</v>
      </c>
      <c r="E437" s="7">
        <v>2.10822206605762E-2</v>
      </c>
      <c r="G437" s="3" t="str">
        <f t="shared" si="70"/>
        <v/>
      </c>
      <c r="H437" s="3"/>
      <c r="J437" s="3" t="str">
        <f t="shared" si="71"/>
        <v/>
      </c>
      <c r="K437" s="3"/>
      <c r="M437" s="3" t="str">
        <f t="shared" si="72"/>
        <v/>
      </c>
      <c r="N437" s="3"/>
      <c r="P437" s="3" t="str">
        <f t="shared" si="73"/>
        <v/>
      </c>
      <c r="Q437" s="3"/>
      <c r="S437" s="3" t="str">
        <f t="shared" si="74"/>
        <v/>
      </c>
      <c r="T437" s="3"/>
      <c r="V437" s="3" t="str">
        <f t="shared" si="75"/>
        <v/>
      </c>
      <c r="W437" s="3"/>
      <c r="Y437" s="3" t="str">
        <f t="shared" si="76"/>
        <v/>
      </c>
      <c r="Z437" s="3"/>
      <c r="AB437" s="3" t="str">
        <f t="shared" si="77"/>
        <v/>
      </c>
      <c r="AC437" s="3"/>
      <c r="AE437" s="3">
        <f t="shared" si="78"/>
        <v>431</v>
      </c>
      <c r="AF437" s="3" t="str">
        <v>Staff: Makoto Houjou (Planning)</v>
      </c>
      <c r="AH437" s="3">
        <f t="shared" si="69"/>
        <v>431</v>
      </c>
      <c r="AI437" s="3" t="str">
        <v>Staff Role: Key Animation (ep 9, 15, 20, 25)</v>
      </c>
    </row>
    <row r="438" spans="1:35" x14ac:dyDescent="0.3">
      <c r="A438" t="str">
        <f>HYPERLINK("https://anilist.co/staff/103085","Staff: Youko Hatta (Producer)")</f>
        <v>Staff: Youko Hatta (Producer)</v>
      </c>
      <c r="B438" s="5">
        <v>75</v>
      </c>
      <c r="C438" s="9">
        <v>2</v>
      </c>
      <c r="D438" s="6">
        <v>2.8109627547434998E-4</v>
      </c>
      <c r="E438" s="7">
        <v>2.10822206605762E-2</v>
      </c>
      <c r="G438" s="3" t="str">
        <f t="shared" si="70"/>
        <v/>
      </c>
      <c r="H438" s="3"/>
      <c r="J438" s="3" t="str">
        <f t="shared" si="71"/>
        <v/>
      </c>
      <c r="K438" s="3"/>
      <c r="M438" s="3" t="str">
        <f t="shared" si="72"/>
        <v/>
      </c>
      <c r="N438" s="3"/>
      <c r="P438" s="3" t="str">
        <f t="shared" si="73"/>
        <v/>
      </c>
      <c r="Q438" s="3"/>
      <c r="S438" s="3" t="str">
        <f t="shared" si="74"/>
        <v/>
      </c>
      <c r="T438" s="3"/>
      <c r="V438" s="3" t="str">
        <f t="shared" si="75"/>
        <v/>
      </c>
      <c r="W438" s="3"/>
      <c r="Y438" s="3" t="str">
        <f t="shared" si="76"/>
        <v/>
      </c>
      <c r="Z438" s="3"/>
      <c r="AB438" s="3" t="str">
        <f t="shared" si="77"/>
        <v/>
      </c>
      <c r="AC438" s="3"/>
      <c r="AE438" s="3">
        <f t="shared" si="78"/>
        <v>432</v>
      </c>
      <c r="AF438" s="3" t="str">
        <v>Staff: Shunichi Uemura (Music Producer)</v>
      </c>
      <c r="AH438" s="3">
        <f t="shared" si="69"/>
        <v>432</v>
      </c>
      <c r="AI438" s="3" t="str">
        <v>Staff Role: Storyboard (ED3, eps 5, 8)</v>
      </c>
    </row>
    <row r="439" spans="1:35" x14ac:dyDescent="0.3">
      <c r="A439" t="str">
        <f>HYPERLINK("https://anilist.co/staff/147821","Staff: Yoshihisa Nakayama (Producer)")</f>
        <v>Staff: Yoshihisa Nakayama (Producer)</v>
      </c>
      <c r="B439" s="5">
        <v>75</v>
      </c>
      <c r="C439" s="9">
        <v>2</v>
      </c>
      <c r="D439" s="6">
        <v>2.8109627547434998E-4</v>
      </c>
      <c r="E439" s="7">
        <v>2.10822206605762E-2</v>
      </c>
      <c r="G439" s="3" t="str">
        <f t="shared" si="70"/>
        <v/>
      </c>
      <c r="H439" s="3"/>
      <c r="J439" s="3" t="str">
        <f t="shared" si="71"/>
        <v/>
      </c>
      <c r="K439" s="3"/>
      <c r="M439" s="3" t="str">
        <f t="shared" si="72"/>
        <v/>
      </c>
      <c r="N439" s="3"/>
      <c r="P439" s="3" t="str">
        <f t="shared" si="73"/>
        <v/>
      </c>
      <c r="Q439" s="3"/>
      <c r="S439" s="3" t="str">
        <f t="shared" si="74"/>
        <v/>
      </c>
      <c r="T439" s="3"/>
      <c r="V439" s="3" t="str">
        <f t="shared" si="75"/>
        <v/>
      </c>
      <c r="W439" s="3"/>
      <c r="Y439" s="3" t="str">
        <f t="shared" si="76"/>
        <v/>
      </c>
      <c r="Z439" s="3"/>
      <c r="AB439" s="3" t="str">
        <f t="shared" si="77"/>
        <v/>
      </c>
      <c r="AC439" s="3"/>
      <c r="AE439" s="3">
        <f t="shared" si="78"/>
        <v>433</v>
      </c>
      <c r="AF439" s="3" t="str">
        <v>Staff: Noritomo Isogai (Producer)</v>
      </c>
      <c r="AH439" s="3">
        <f t="shared" si="69"/>
        <v>433</v>
      </c>
      <c r="AI439" s="3" t="str">
        <v>Staff Role: Episode Director (ED3, ep 8)</v>
      </c>
    </row>
    <row r="440" spans="1:35" x14ac:dyDescent="0.3">
      <c r="A440" t="str">
        <f>HYPERLINK("https://anilist.co/staff/133646","Staff: Shinichi Nakamura (Producer)")</f>
        <v>Staff: Shinichi Nakamura (Producer)</v>
      </c>
      <c r="B440" s="5">
        <v>75</v>
      </c>
      <c r="C440" s="9">
        <v>2</v>
      </c>
      <c r="D440" s="6">
        <v>2.8109627547434998E-4</v>
      </c>
      <c r="E440" s="7">
        <v>2.10822206605762E-2</v>
      </c>
      <c r="G440" s="3" t="str">
        <f t="shared" si="70"/>
        <v/>
      </c>
      <c r="H440" s="3"/>
      <c r="J440" s="3" t="str">
        <f t="shared" si="71"/>
        <v/>
      </c>
      <c r="K440" s="3"/>
      <c r="M440" s="3" t="str">
        <f t="shared" si="72"/>
        <v/>
      </c>
      <c r="N440" s="3"/>
      <c r="P440" s="3" t="str">
        <f t="shared" si="73"/>
        <v/>
      </c>
      <c r="Q440" s="3"/>
      <c r="S440" s="3" t="str">
        <f t="shared" si="74"/>
        <v/>
      </c>
      <c r="T440" s="3"/>
      <c r="V440" s="3" t="str">
        <f t="shared" si="75"/>
        <v/>
      </c>
      <c r="W440" s="3"/>
      <c r="Y440" s="3" t="str">
        <f t="shared" si="76"/>
        <v/>
      </c>
      <c r="Z440" s="3"/>
      <c r="AB440" s="3" t="str">
        <f t="shared" si="77"/>
        <v/>
      </c>
      <c r="AC440" s="3"/>
      <c r="AE440" s="3">
        <f t="shared" si="78"/>
        <v>434</v>
      </c>
      <c r="AF440" s="3" t="str">
        <v>Staff: Hiroyasu Taniguchi (Producer)</v>
      </c>
      <c r="AH440" s="3">
        <f t="shared" si="69"/>
        <v>434</v>
      </c>
      <c r="AI440" s="3" t="str">
        <v>Staff Role: Storyboard (eps 13, 18, 22)</v>
      </c>
    </row>
    <row r="441" spans="1:35" x14ac:dyDescent="0.3">
      <c r="A441" t="str">
        <f>HYPERLINK("https://anilist.co/staff/115639","Staff: Rin Yamamoto (Director of Photography)")</f>
        <v>Staff: Rin Yamamoto (Director of Photography)</v>
      </c>
      <c r="B441" s="5">
        <v>75</v>
      </c>
      <c r="C441" s="9">
        <v>2</v>
      </c>
      <c r="D441" s="6">
        <v>2.8109627547434998E-4</v>
      </c>
      <c r="E441" s="7">
        <v>2.10822206605762E-2</v>
      </c>
      <c r="G441" s="3" t="str">
        <f t="shared" si="70"/>
        <v/>
      </c>
      <c r="H441" s="3"/>
      <c r="J441" s="3" t="str">
        <f t="shared" si="71"/>
        <v/>
      </c>
      <c r="K441" s="3"/>
      <c r="M441" s="3" t="str">
        <f t="shared" si="72"/>
        <v/>
      </c>
      <c r="N441" s="3"/>
      <c r="P441" s="3" t="str">
        <f t="shared" si="73"/>
        <v/>
      </c>
      <c r="Q441" s="3"/>
      <c r="S441" s="3" t="str">
        <f t="shared" si="74"/>
        <v/>
      </c>
      <c r="T441" s="3"/>
      <c r="V441" s="3" t="str">
        <f t="shared" si="75"/>
        <v/>
      </c>
      <c r="W441" s="3"/>
      <c r="Y441" s="3" t="str">
        <f t="shared" si="76"/>
        <v/>
      </c>
      <c r="Z441" s="3"/>
      <c r="AB441" s="3" t="str">
        <f t="shared" si="77"/>
        <v/>
      </c>
      <c r="AC441" s="3"/>
      <c r="AE441" s="3">
        <f t="shared" si="78"/>
        <v>435</v>
      </c>
      <c r="AF441" s="3" t="str">
        <v>Staff: Mitsuhiro Ogata (Producer)</v>
      </c>
      <c r="AH441" s="3">
        <f t="shared" si="69"/>
        <v>435</v>
      </c>
      <c r="AI441" s="3" t="str">
        <v>Staff Role: Episode Director (eps 4, 10)</v>
      </c>
    </row>
    <row r="442" spans="1:35" x14ac:dyDescent="0.3">
      <c r="A442" t="str">
        <f>HYPERLINK("https://anilist.co/staff/119341","Staff: Kenichi Suzuki (Director)")</f>
        <v>Staff: Kenichi Suzuki (Director)</v>
      </c>
      <c r="B442" s="5">
        <v>75</v>
      </c>
      <c r="C442" s="9">
        <v>2</v>
      </c>
      <c r="D442" s="6">
        <v>2.8109627547434998E-4</v>
      </c>
      <c r="E442" s="7">
        <v>2.10822206605762E-2</v>
      </c>
      <c r="G442" s="3" t="str">
        <f t="shared" si="70"/>
        <v/>
      </c>
      <c r="H442" s="3"/>
      <c r="J442" s="3" t="str">
        <f t="shared" si="71"/>
        <v/>
      </c>
      <c r="K442" s="3"/>
      <c r="M442" s="3" t="str">
        <f t="shared" si="72"/>
        <v/>
      </c>
      <c r="N442" s="3"/>
      <c r="P442" s="3" t="str">
        <f t="shared" si="73"/>
        <v/>
      </c>
      <c r="Q442" s="3"/>
      <c r="S442" s="3" t="str">
        <f t="shared" si="74"/>
        <v/>
      </c>
      <c r="T442" s="3"/>
      <c r="V442" s="3" t="str">
        <f t="shared" si="75"/>
        <v/>
      </c>
      <c r="W442" s="3"/>
      <c r="Y442" s="3" t="str">
        <f t="shared" si="76"/>
        <v/>
      </c>
      <c r="Z442" s="3"/>
      <c r="AB442" s="3" t="str">
        <f t="shared" si="77"/>
        <v/>
      </c>
      <c r="AC442" s="3"/>
      <c r="AE442" s="3">
        <f t="shared" si="78"/>
        <v>436</v>
      </c>
      <c r="AF442" s="3" t="str">
        <v>Staff: Shintarou Yoshitake (Producer)</v>
      </c>
      <c r="AH442" s="3">
        <f t="shared" si="69"/>
        <v>436</v>
      </c>
      <c r="AI442" s="3" t="str">
        <v>Staff Role: Key Animation (eps 4, 5, 10)</v>
      </c>
    </row>
    <row r="443" spans="1:35" x14ac:dyDescent="0.3">
      <c r="A443" t="str">
        <f>HYPERLINK("https://anilist.co/staff/142297","Staff: Tsuyoshi Kikuchi (Planning)")</f>
        <v>Staff: Tsuyoshi Kikuchi (Planning)</v>
      </c>
      <c r="B443" s="5">
        <v>75</v>
      </c>
      <c r="C443" s="9">
        <v>2</v>
      </c>
      <c r="D443" s="6">
        <v>2.8109627547434998E-4</v>
      </c>
      <c r="E443" s="7">
        <v>2.10822206605762E-2</v>
      </c>
      <c r="G443" s="3" t="str">
        <f t="shared" si="70"/>
        <v/>
      </c>
      <c r="H443" s="3"/>
      <c r="J443" s="3" t="str">
        <f t="shared" si="71"/>
        <v/>
      </c>
      <c r="K443" s="3"/>
      <c r="M443" s="3" t="str">
        <f t="shared" si="72"/>
        <v/>
      </c>
      <c r="N443" s="3"/>
      <c r="P443" s="3" t="str">
        <f t="shared" si="73"/>
        <v/>
      </c>
      <c r="Q443" s="3"/>
      <c r="S443" s="3" t="str">
        <f t="shared" si="74"/>
        <v/>
      </c>
      <c r="T443" s="3"/>
      <c r="V443" s="3" t="str">
        <f t="shared" si="75"/>
        <v/>
      </c>
      <c r="W443" s="3"/>
      <c r="Y443" s="3" t="str">
        <f t="shared" si="76"/>
        <v/>
      </c>
      <c r="Z443" s="3"/>
      <c r="AB443" s="3" t="str">
        <f t="shared" si="77"/>
        <v/>
      </c>
      <c r="AC443" s="3"/>
      <c r="AE443" s="3">
        <f t="shared" si="78"/>
        <v>437</v>
      </c>
      <c r="AF443" s="3" t="str">
        <v>Staff: Fumihiko Shinozaki (Planning)</v>
      </c>
      <c r="AH443" s="3">
        <f t="shared" si="69"/>
        <v>437</v>
      </c>
      <c r="AI443" s="3" t="str">
        <v>Staff Role: Animation Director (ep 15)</v>
      </c>
    </row>
    <row r="444" spans="1:35" x14ac:dyDescent="0.3">
      <c r="A444" t="str">
        <f>HYPERLINK("https://anilist.co/staff/153601","Staff: Kazuya Takahashi (Planning)")</f>
        <v>Staff: Kazuya Takahashi (Planning)</v>
      </c>
      <c r="B444" s="5">
        <v>75</v>
      </c>
      <c r="C444" s="9">
        <v>2</v>
      </c>
      <c r="D444" s="6">
        <v>2.8109627547434998E-4</v>
      </c>
      <c r="E444" s="7">
        <v>2.10822206605762E-2</v>
      </c>
      <c r="G444" s="3" t="str">
        <f t="shared" si="70"/>
        <v/>
      </c>
      <c r="H444" s="3"/>
      <c r="J444" s="3" t="str">
        <f t="shared" si="71"/>
        <v/>
      </c>
      <c r="K444" s="3"/>
      <c r="M444" s="3" t="str">
        <f t="shared" si="72"/>
        <v/>
      </c>
      <c r="N444" s="3"/>
      <c r="P444" s="3" t="str">
        <f t="shared" si="73"/>
        <v/>
      </c>
      <c r="Q444" s="3"/>
      <c r="S444" s="3" t="str">
        <f t="shared" si="74"/>
        <v/>
      </c>
      <c r="T444" s="3"/>
      <c r="V444" s="3" t="str">
        <f t="shared" si="75"/>
        <v/>
      </c>
      <c r="W444" s="3"/>
      <c r="Y444" s="3" t="str">
        <f t="shared" si="76"/>
        <v/>
      </c>
      <c r="Z444" s="3"/>
      <c r="AB444" s="3" t="str">
        <f t="shared" si="77"/>
        <v/>
      </c>
      <c r="AC444" s="3"/>
      <c r="AE444" s="3">
        <f t="shared" si="78"/>
        <v>438</v>
      </c>
      <c r="AF444" s="3" t="str">
        <v>Staff: Asuka Yamazaki (Planning)</v>
      </c>
      <c r="AH444" s="3">
        <f t="shared" si="69"/>
        <v>438</v>
      </c>
      <c r="AI444" s="3" t="str">
        <v>Staff Role: 2nd Key Animation (eps 2, 16)</v>
      </c>
    </row>
    <row r="445" spans="1:35" x14ac:dyDescent="0.3">
      <c r="A445" t="str">
        <f>HYPERLINK("https://anilist.co/staff/119830","Staff: Mutsumi Takemiya (Editing)")</f>
        <v>Staff: Mutsumi Takemiya (Editing)</v>
      </c>
      <c r="B445" s="5">
        <v>75</v>
      </c>
      <c r="C445" s="9">
        <v>2</v>
      </c>
      <c r="D445" s="6">
        <v>2.8109627547434998E-4</v>
      </c>
      <c r="E445" s="7">
        <v>2.10822206605762E-2</v>
      </c>
      <c r="G445" s="3" t="str">
        <f t="shared" si="70"/>
        <v/>
      </c>
      <c r="H445" s="3"/>
      <c r="J445" s="3" t="str">
        <f t="shared" si="71"/>
        <v/>
      </c>
      <c r="K445" s="3"/>
      <c r="M445" s="3" t="str">
        <f t="shared" si="72"/>
        <v/>
      </c>
      <c r="N445" s="3"/>
      <c r="P445" s="3" t="str">
        <f t="shared" si="73"/>
        <v/>
      </c>
      <c r="Q445" s="3"/>
      <c r="S445" s="3" t="str">
        <f t="shared" si="74"/>
        <v/>
      </c>
      <c r="T445" s="3"/>
      <c r="V445" s="3" t="str">
        <f t="shared" si="75"/>
        <v/>
      </c>
      <c r="W445" s="3"/>
      <c r="Y445" s="3" t="str">
        <f t="shared" si="76"/>
        <v/>
      </c>
      <c r="Z445" s="3"/>
      <c r="AB445" s="3" t="str">
        <f t="shared" si="77"/>
        <v/>
      </c>
      <c r="AC445" s="3"/>
      <c r="AE445" s="3">
        <f t="shared" si="78"/>
        <v>439</v>
      </c>
      <c r="AF445" s="3" t="str">
        <v>Staff: Ryou Araki (Main Animator)</v>
      </c>
      <c r="AH445" s="3">
        <f t="shared" si="69"/>
        <v>439</v>
      </c>
      <c r="AI445" s="3" t="str">
        <v>Staff Role: Script (eps 7, 10, 11)</v>
      </c>
    </row>
    <row r="446" spans="1:35" x14ac:dyDescent="0.3">
      <c r="A446" t="str">
        <f>HYPERLINK("https://anilist.co/staff/146745","Staff: Kunihiko Itou (Director of Photography)")</f>
        <v>Staff: Kunihiko Itou (Director of Photography)</v>
      </c>
      <c r="B446" s="5">
        <v>75</v>
      </c>
      <c r="C446" s="9">
        <v>2</v>
      </c>
      <c r="D446" s="6">
        <v>2.8109627547434998E-4</v>
      </c>
      <c r="E446" s="7">
        <v>2.10822206605762E-2</v>
      </c>
      <c r="G446" s="3" t="str">
        <f t="shared" si="70"/>
        <v/>
      </c>
      <c r="H446" s="3"/>
      <c r="J446" s="3" t="str">
        <f t="shared" si="71"/>
        <v/>
      </c>
      <c r="K446" s="3"/>
      <c r="M446" s="3" t="str">
        <f t="shared" si="72"/>
        <v/>
      </c>
      <c r="N446" s="3"/>
      <c r="P446" s="3" t="str">
        <f t="shared" si="73"/>
        <v/>
      </c>
      <c r="Q446" s="3"/>
      <c r="S446" s="3" t="str">
        <f t="shared" si="74"/>
        <v/>
      </c>
      <c r="T446" s="3"/>
      <c r="V446" s="3" t="str">
        <f t="shared" si="75"/>
        <v/>
      </c>
      <c r="W446" s="3"/>
      <c r="Y446" s="3" t="str">
        <f t="shared" si="76"/>
        <v/>
      </c>
      <c r="Z446" s="3"/>
      <c r="AB446" s="3" t="str">
        <f t="shared" si="77"/>
        <v/>
      </c>
      <c r="AC446" s="3"/>
      <c r="AE446" s="3">
        <f t="shared" si="78"/>
        <v>440</v>
      </c>
      <c r="AF446" s="3" t="str">
        <v>Staff: Kei Matsubara (Assistant Director)</v>
      </c>
      <c r="AH446" s="3">
        <f t="shared" si="69"/>
        <v>440</v>
      </c>
      <c r="AI446" s="3" t="str">
        <v>Staff Role: Storyboard (eps 1, 4, 9, 10, 12)</v>
      </c>
    </row>
    <row r="447" spans="1:35" x14ac:dyDescent="0.3">
      <c r="A447" t="str">
        <f>HYPERLINK("https://anilist.co/staff/105082","Staff: Yukari Hashimoto (Music)")</f>
        <v>Staff: Yukari Hashimoto (Music)</v>
      </c>
      <c r="B447" s="5">
        <v>75</v>
      </c>
      <c r="C447" s="9">
        <v>2</v>
      </c>
      <c r="D447" s="6">
        <v>2.8109627547434998E-4</v>
      </c>
      <c r="E447" s="7">
        <v>2.10822206605762E-2</v>
      </c>
      <c r="G447" s="3" t="str">
        <f t="shared" si="70"/>
        <v/>
      </c>
      <c r="H447" s="3"/>
      <c r="J447" s="3" t="str">
        <f t="shared" si="71"/>
        <v/>
      </c>
      <c r="K447" s="3"/>
      <c r="M447" s="3" t="str">
        <f t="shared" si="72"/>
        <v/>
      </c>
      <c r="N447" s="3"/>
      <c r="P447" s="3" t="str">
        <f t="shared" si="73"/>
        <v/>
      </c>
      <c r="Q447" s="3"/>
      <c r="S447" s="3" t="str">
        <f t="shared" si="74"/>
        <v/>
      </c>
      <c r="T447" s="3"/>
      <c r="V447" s="3" t="str">
        <f t="shared" si="75"/>
        <v/>
      </c>
      <c r="W447" s="3"/>
      <c r="Y447" s="3" t="str">
        <f t="shared" si="76"/>
        <v/>
      </c>
      <c r="Z447" s="3"/>
      <c r="AB447" s="3" t="str">
        <f t="shared" si="77"/>
        <v/>
      </c>
      <c r="AC447" s="3"/>
      <c r="AE447" s="3">
        <f t="shared" si="78"/>
        <v>441</v>
      </c>
      <c r="AF447" s="3" t="str">
        <v>Staff: Yuumikan  (Original Creator)</v>
      </c>
      <c r="AH447" s="3">
        <f t="shared" si="69"/>
        <v>441</v>
      </c>
      <c r="AI447" s="3" t="str">
        <v>Staff Role: 2nd Key Animation</v>
      </c>
    </row>
    <row r="448" spans="1:35" x14ac:dyDescent="0.3">
      <c r="A448" t="str">
        <f>HYPERLINK("https://anilist.co/staff/119974","Staff: Yoshiko Nakamura (Series Composition)")</f>
        <v>Staff: Yoshiko Nakamura (Series Composition)</v>
      </c>
      <c r="B448" s="5">
        <v>75</v>
      </c>
      <c r="C448" s="9">
        <v>2</v>
      </c>
      <c r="D448" s="6">
        <v>2.8109627547434998E-4</v>
      </c>
      <c r="E448" s="7">
        <v>2.10822206605762E-2</v>
      </c>
      <c r="G448" s="3" t="str">
        <f t="shared" si="70"/>
        <v/>
      </c>
      <c r="H448" s="3"/>
      <c r="J448" s="3" t="str">
        <f t="shared" si="71"/>
        <v/>
      </c>
      <c r="K448" s="3"/>
      <c r="M448" s="3" t="str">
        <f t="shared" si="72"/>
        <v/>
      </c>
      <c r="N448" s="3"/>
      <c r="P448" s="3" t="str">
        <f t="shared" si="73"/>
        <v/>
      </c>
      <c r="Q448" s="3"/>
      <c r="S448" s="3" t="str">
        <f t="shared" si="74"/>
        <v/>
      </c>
      <c r="T448" s="3"/>
      <c r="V448" s="3" t="str">
        <f t="shared" si="75"/>
        <v/>
      </c>
      <c r="W448" s="3"/>
      <c r="Y448" s="3" t="str">
        <f t="shared" si="76"/>
        <v/>
      </c>
      <c r="Z448" s="3"/>
      <c r="AB448" s="3" t="str">
        <f t="shared" si="77"/>
        <v/>
      </c>
      <c r="AC448" s="3"/>
      <c r="AE448" s="3">
        <f t="shared" si="78"/>
        <v>442</v>
      </c>
      <c r="AF448" s="3" t="str">
        <v>Staff: Shin Oonuma (Director)</v>
      </c>
      <c r="AH448" s="3">
        <f t="shared" si="69"/>
        <v>442</v>
      </c>
      <c r="AI448" s="3" t="str">
        <v>Staff Role: Layout Supervisor</v>
      </c>
    </row>
    <row r="449" spans="1:35" x14ac:dyDescent="0.3">
      <c r="A449" t="str">
        <f>HYPERLINK("https://anilist.co/staff/95212","Staff: Daisuke Ono (Theme Song Performance (OP))")</f>
        <v>Staff: Daisuke Ono (Theme Song Performance (OP))</v>
      </c>
      <c r="B449" s="5">
        <v>75</v>
      </c>
      <c r="C449" s="9">
        <v>2</v>
      </c>
      <c r="D449" s="6">
        <v>2.8109627547434998E-4</v>
      </c>
      <c r="E449" s="7">
        <v>2.10822206605762E-2</v>
      </c>
      <c r="G449" s="3" t="str">
        <f t="shared" si="70"/>
        <v/>
      </c>
      <c r="H449" s="3"/>
      <c r="J449" s="3" t="str">
        <f t="shared" si="71"/>
        <v/>
      </c>
      <c r="K449" s="3"/>
      <c r="M449" s="3" t="str">
        <f t="shared" si="72"/>
        <v/>
      </c>
      <c r="N449" s="3"/>
      <c r="P449" s="3" t="str">
        <f t="shared" si="73"/>
        <v/>
      </c>
      <c r="Q449" s="3"/>
      <c r="S449" s="3" t="str">
        <f t="shared" si="74"/>
        <v/>
      </c>
      <c r="T449" s="3"/>
      <c r="V449" s="3" t="str">
        <f t="shared" si="75"/>
        <v/>
      </c>
      <c r="W449" s="3"/>
      <c r="Y449" s="3" t="str">
        <f t="shared" si="76"/>
        <v/>
      </c>
      <c r="Z449" s="3"/>
      <c r="AB449" s="3" t="str">
        <f t="shared" si="77"/>
        <v/>
      </c>
      <c r="AC449" s="3"/>
      <c r="AE449" s="3">
        <f t="shared" si="78"/>
        <v>443</v>
      </c>
      <c r="AF449" s="3" t="str">
        <v>Staff: Mirai Minato (Director)</v>
      </c>
      <c r="AH449" s="3">
        <f t="shared" si="69"/>
        <v>443</v>
      </c>
      <c r="AI449" s="3" t="str">
        <v>Staff Role: Chief Unit Director</v>
      </c>
    </row>
    <row r="450" spans="1:35" x14ac:dyDescent="0.3">
      <c r="A450" t="str">
        <f>HYPERLINK("https://anilist.co/staff/142737","Staff: Naotoshi Tsunoda (Planning)")</f>
        <v>Staff: Naotoshi Tsunoda (Planning)</v>
      </c>
      <c r="B450" s="5">
        <v>75</v>
      </c>
      <c r="C450" s="9">
        <v>2</v>
      </c>
      <c r="D450" s="6">
        <v>2.8109627547434998E-4</v>
      </c>
      <c r="E450" s="7">
        <v>2.10822206605762E-2</v>
      </c>
      <c r="G450" s="3" t="str">
        <f t="shared" si="70"/>
        <v/>
      </c>
      <c r="H450" s="3"/>
      <c r="J450" s="3" t="str">
        <f t="shared" si="71"/>
        <v/>
      </c>
      <c r="K450" s="3"/>
      <c r="M450" s="3" t="str">
        <f t="shared" si="72"/>
        <v/>
      </c>
      <c r="N450" s="3"/>
      <c r="P450" s="3" t="str">
        <f t="shared" si="73"/>
        <v/>
      </c>
      <c r="Q450" s="3"/>
      <c r="S450" s="3" t="str">
        <f t="shared" si="74"/>
        <v/>
      </c>
      <c r="T450" s="3"/>
      <c r="V450" s="3" t="str">
        <f t="shared" si="75"/>
        <v/>
      </c>
      <c r="W450" s="3"/>
      <c r="Y450" s="3" t="str">
        <f t="shared" si="76"/>
        <v/>
      </c>
      <c r="Z450" s="3"/>
      <c r="AB450" s="3" t="str">
        <f t="shared" si="77"/>
        <v/>
      </c>
      <c r="AC450" s="3"/>
      <c r="AE450" s="3">
        <f t="shared" si="78"/>
        <v>444</v>
      </c>
      <c r="AF450" s="3" t="str">
        <v>Staff: Kazuya Hirata (Character Design)</v>
      </c>
      <c r="AH450" s="3">
        <f t="shared" si="69"/>
        <v>444</v>
      </c>
      <c r="AI450" s="3" t="str">
        <v>Staff Role: Episode Director (ep 13)</v>
      </c>
    </row>
    <row r="451" spans="1:35" x14ac:dyDescent="0.3">
      <c r="A451" t="str">
        <f>HYPERLINK("https://anilist.co/staff/105140","Staff: Kei Oikawa (Director)")</f>
        <v>Staff: Kei Oikawa (Director)</v>
      </c>
      <c r="B451" s="5">
        <v>75</v>
      </c>
      <c r="C451" s="9">
        <v>2</v>
      </c>
      <c r="D451" s="6">
        <v>2.8109627547434998E-4</v>
      </c>
      <c r="E451" s="7">
        <v>2.10822206605762E-2</v>
      </c>
      <c r="G451" s="3" t="str">
        <f t="shared" si="70"/>
        <v/>
      </c>
      <c r="H451" s="3"/>
      <c r="J451" s="3" t="str">
        <f t="shared" si="71"/>
        <v/>
      </c>
      <c r="K451" s="3"/>
      <c r="M451" s="3" t="str">
        <f t="shared" si="72"/>
        <v/>
      </c>
      <c r="N451" s="3"/>
      <c r="P451" s="3" t="str">
        <f t="shared" si="73"/>
        <v/>
      </c>
      <c r="Q451" s="3"/>
      <c r="S451" s="3" t="str">
        <f t="shared" si="74"/>
        <v/>
      </c>
      <c r="T451" s="3"/>
      <c r="V451" s="3" t="str">
        <f t="shared" si="75"/>
        <v/>
      </c>
      <c r="W451" s="3"/>
      <c r="Y451" s="3" t="str">
        <f t="shared" si="76"/>
        <v/>
      </c>
      <c r="Z451" s="3"/>
      <c r="AB451" s="3" t="str">
        <f t="shared" si="77"/>
        <v/>
      </c>
      <c r="AC451" s="3"/>
      <c r="AE451" s="3">
        <f t="shared" si="78"/>
        <v>445</v>
      </c>
      <c r="AF451" s="3" t="str">
        <v>Staff: Kazuya Hirata (Chief Animation Director)</v>
      </c>
      <c r="AH451" s="3">
        <f t="shared" si="69"/>
        <v>445</v>
      </c>
      <c r="AI451" s="3" t="str">
        <v>Staff Role: Storyboard (ep 9)</v>
      </c>
    </row>
    <row r="452" spans="1:35" x14ac:dyDescent="0.3">
      <c r="A452" t="str">
        <f>HYPERLINK("https://anilist.co/staff/132701","Staff: Daisuke Hiraki (Editing)")</f>
        <v>Staff: Daisuke Hiraki (Editing)</v>
      </c>
      <c r="B452" s="5">
        <v>75</v>
      </c>
      <c r="C452" s="9">
        <v>2</v>
      </c>
      <c r="D452" s="6">
        <v>2.8109627547434998E-4</v>
      </c>
      <c r="E452" s="7">
        <v>2.10822206605762E-2</v>
      </c>
      <c r="G452" s="3" t="str">
        <f t="shared" si="70"/>
        <v/>
      </c>
      <c r="H452" s="3"/>
      <c r="J452" s="3" t="str">
        <f t="shared" si="71"/>
        <v/>
      </c>
      <c r="K452" s="3"/>
      <c r="M452" s="3" t="str">
        <f t="shared" si="72"/>
        <v/>
      </c>
      <c r="N452" s="3"/>
      <c r="P452" s="3" t="str">
        <f t="shared" si="73"/>
        <v/>
      </c>
      <c r="Q452" s="3"/>
      <c r="S452" s="3" t="str">
        <f t="shared" si="74"/>
        <v/>
      </c>
      <c r="T452" s="3"/>
      <c r="V452" s="3" t="str">
        <f t="shared" si="75"/>
        <v/>
      </c>
      <c r="W452" s="3"/>
      <c r="Y452" s="3" t="str">
        <f t="shared" si="76"/>
        <v/>
      </c>
      <c r="Z452" s="3"/>
      <c r="AB452" s="3" t="str">
        <f t="shared" si="77"/>
        <v/>
      </c>
      <c r="AC452" s="3"/>
      <c r="AE452" s="3">
        <f t="shared" si="78"/>
        <v>446</v>
      </c>
      <c r="AF452" s="3" t="str">
        <v>Staff: Hiromi Ueno (Art Design)</v>
      </c>
      <c r="AH452" s="3">
        <f t="shared" si="69"/>
        <v>446</v>
      </c>
      <c r="AI452" s="3" t="str">
        <v>Staff Role: Storyboard (ED1-5, eps 6, 12)</v>
      </c>
    </row>
    <row r="453" spans="1:35" x14ac:dyDescent="0.3">
      <c r="A453" t="str">
        <f>HYPERLINK("https://anilist.co/staff/206859","Staff: Seiji Nagai (Production)")</f>
        <v>Staff: Seiji Nagai (Production)</v>
      </c>
      <c r="B453" s="5">
        <v>75</v>
      </c>
      <c r="C453" s="9">
        <v>2</v>
      </c>
      <c r="D453" s="6">
        <v>2.8109627547434998E-4</v>
      </c>
      <c r="E453" s="7">
        <v>2.10822206605762E-2</v>
      </c>
      <c r="G453" s="3" t="str">
        <f t="shared" si="70"/>
        <v/>
      </c>
      <c r="H453" s="3"/>
      <c r="J453" s="3" t="str">
        <f t="shared" si="71"/>
        <v/>
      </c>
      <c r="K453" s="3"/>
      <c r="M453" s="3" t="str">
        <f t="shared" si="72"/>
        <v/>
      </c>
      <c r="N453" s="3"/>
      <c r="P453" s="3" t="str">
        <f t="shared" si="73"/>
        <v/>
      </c>
      <c r="Q453" s="3"/>
      <c r="S453" s="3" t="str">
        <f t="shared" si="74"/>
        <v/>
      </c>
      <c r="T453" s="3"/>
      <c r="V453" s="3" t="str">
        <f t="shared" si="75"/>
        <v/>
      </c>
      <c r="W453" s="3"/>
      <c r="Y453" s="3" t="str">
        <f t="shared" si="76"/>
        <v/>
      </c>
      <c r="Z453" s="3"/>
      <c r="AB453" s="3" t="str">
        <f t="shared" si="77"/>
        <v/>
      </c>
      <c r="AC453" s="3"/>
      <c r="AE453" s="3">
        <f t="shared" si="78"/>
        <v>447</v>
      </c>
      <c r="AF453" s="3" t="str">
        <v>Staff: Yuki Sawairi (Prop Design)</v>
      </c>
      <c r="AH453" s="3">
        <f t="shared" si="69"/>
        <v>447</v>
      </c>
      <c r="AI453" s="3" t="str">
        <v>Staff Role: Episode Director (OP, ED1-5, eps 1, 6, 12)</v>
      </c>
    </row>
    <row r="454" spans="1:35" x14ac:dyDescent="0.3">
      <c r="A454" t="str">
        <f>HYPERLINK("https://anilist.co/staff/147288","Staff: Youko Matsuzaki (Supervisor)")</f>
        <v>Staff: Youko Matsuzaki (Supervisor)</v>
      </c>
      <c r="B454" s="5">
        <v>75</v>
      </c>
      <c r="C454" s="9">
        <v>2</v>
      </c>
      <c r="D454" s="6">
        <v>2.8109627547434998E-4</v>
      </c>
      <c r="E454" s="7">
        <v>2.10822206605762E-2</v>
      </c>
      <c r="G454" s="3" t="str">
        <f t="shared" si="70"/>
        <v/>
      </c>
      <c r="H454" s="3"/>
      <c r="J454" s="3" t="str">
        <f t="shared" si="71"/>
        <v/>
      </c>
      <c r="K454" s="3"/>
      <c r="M454" s="3" t="str">
        <f t="shared" si="72"/>
        <v/>
      </c>
      <c r="N454" s="3"/>
      <c r="P454" s="3" t="str">
        <f t="shared" si="73"/>
        <v/>
      </c>
      <c r="Q454" s="3"/>
      <c r="S454" s="3" t="str">
        <f t="shared" si="74"/>
        <v/>
      </c>
      <c r="T454" s="3"/>
      <c r="V454" s="3" t="str">
        <f t="shared" si="75"/>
        <v/>
      </c>
      <c r="W454" s="3"/>
      <c r="Y454" s="3" t="str">
        <f t="shared" si="76"/>
        <v/>
      </c>
      <c r="Z454" s="3"/>
      <c r="AB454" s="3" t="str">
        <f t="shared" si="77"/>
        <v/>
      </c>
      <c r="AC454" s="3"/>
      <c r="AE454" s="3">
        <f t="shared" si="78"/>
        <v>448</v>
      </c>
      <c r="AF454" s="3" t="str">
        <v>Staff: Shinpei Aoki (Weapon Design)</v>
      </c>
      <c r="AH454" s="3">
        <f t="shared" si="69"/>
        <v>448</v>
      </c>
      <c r="AI454" s="3" t="str">
        <v>Staff Role: Storyboard (OP, eps 1, 3, 13)</v>
      </c>
    </row>
    <row r="455" spans="1:35" x14ac:dyDescent="0.3">
      <c r="A455" t="str">
        <f>HYPERLINK("https://anilist.co/staff/137902","Staff: Yuuji Kondou (Editing)")</f>
        <v>Staff: Yuuji Kondou (Editing)</v>
      </c>
      <c r="B455" s="5">
        <v>75</v>
      </c>
      <c r="C455" s="9">
        <v>2</v>
      </c>
      <c r="D455" s="6">
        <v>2.8109627547434998E-4</v>
      </c>
      <c r="E455" s="7">
        <v>2.10822206605762E-2</v>
      </c>
      <c r="G455" s="3" t="str">
        <f t="shared" si="70"/>
        <v/>
      </c>
      <c r="H455" s="3"/>
      <c r="J455" s="3" t="str">
        <f t="shared" si="71"/>
        <v/>
      </c>
      <c r="K455" s="3"/>
      <c r="M455" s="3" t="str">
        <f t="shared" si="72"/>
        <v/>
      </c>
      <c r="N455" s="3"/>
      <c r="P455" s="3" t="str">
        <f t="shared" si="73"/>
        <v/>
      </c>
      <c r="Q455" s="3"/>
      <c r="S455" s="3" t="str">
        <f t="shared" si="74"/>
        <v/>
      </c>
      <c r="T455" s="3"/>
      <c r="V455" s="3" t="str">
        <f t="shared" si="75"/>
        <v/>
      </c>
      <c r="W455" s="3"/>
      <c r="Y455" s="3" t="str">
        <f t="shared" si="76"/>
        <v/>
      </c>
      <c r="Z455" s="3"/>
      <c r="AB455" s="3" t="str">
        <f t="shared" si="77"/>
        <v/>
      </c>
      <c r="AC455" s="3"/>
      <c r="AE455" s="3">
        <f t="shared" si="78"/>
        <v>449</v>
      </c>
      <c r="AF455" s="3" t="str">
        <v>Staff:  Koin (Original Character Design)</v>
      </c>
      <c r="AH455" s="3">
        <f t="shared" si="69"/>
        <v>449</v>
      </c>
      <c r="AI455" s="3" t="str">
        <v>Staff Role: Theme Song Performance (ED eps 1, 4, 5, 13)</v>
      </c>
    </row>
    <row r="456" spans="1:35" x14ac:dyDescent="0.3">
      <c r="A456" t="str">
        <f>HYPERLINK("https://anilist.co/staff/119688","Staff: Kiyotaka Kawada (Sound Effects)")</f>
        <v>Staff: Kiyotaka Kawada (Sound Effects)</v>
      </c>
      <c r="B456" s="5">
        <v>75</v>
      </c>
      <c r="C456" s="9">
        <v>2</v>
      </c>
      <c r="D456" s="6">
        <v>2.8109627547434998E-4</v>
      </c>
      <c r="E456" s="7">
        <v>2.10822206605762E-2</v>
      </c>
      <c r="G456" s="3" t="str">
        <f t="shared" si="70"/>
        <v/>
      </c>
      <c r="H456" s="3"/>
      <c r="J456" s="3" t="str">
        <f t="shared" si="71"/>
        <v/>
      </c>
      <c r="K456" s="3"/>
      <c r="M456" s="3" t="str">
        <f t="shared" si="72"/>
        <v/>
      </c>
      <c r="N456" s="3"/>
      <c r="P456" s="3" t="str">
        <f t="shared" si="73"/>
        <v/>
      </c>
      <c r="Q456" s="3"/>
      <c r="S456" s="3" t="str">
        <f t="shared" si="74"/>
        <v/>
      </c>
      <c r="T456" s="3"/>
      <c r="V456" s="3" t="str">
        <f t="shared" si="75"/>
        <v/>
      </c>
      <c r="W456" s="3"/>
      <c r="Y456" s="3" t="str">
        <f t="shared" si="76"/>
        <v/>
      </c>
      <c r="Z456" s="3"/>
      <c r="AB456" s="3" t="str">
        <f t="shared" si="77"/>
        <v/>
      </c>
      <c r="AC456" s="3"/>
      <c r="AE456" s="3">
        <f t="shared" si="78"/>
        <v>450</v>
      </c>
      <c r="AF456" s="3" t="str">
        <v>Staff: Kisuke Koizumi (Sound Director)</v>
      </c>
      <c r="AH456" s="3">
        <f t="shared" ref="AH456:AH502" si="79">IF(NOT(ISBLANK(AI456)),IF(NOT(ISNUMBER(AH455)),1,AH455+1),"")</f>
        <v>450</v>
      </c>
      <c r="AI456" s="3" t="str">
        <v>Staff Role: Theme Song Performance (ED eps 1, 9, 10, 13)</v>
      </c>
    </row>
    <row r="457" spans="1:35" x14ac:dyDescent="0.3">
      <c r="A457" t="str">
        <f>HYPERLINK("https://anilist.co/staff/137901","Staff: Atsushi Satou (Director of Photography)")</f>
        <v>Staff: Atsushi Satou (Director of Photography)</v>
      </c>
      <c r="B457" s="5">
        <v>75</v>
      </c>
      <c r="C457" s="9">
        <v>2</v>
      </c>
      <c r="D457" s="6">
        <v>2.8109627547434998E-4</v>
      </c>
      <c r="E457" s="7">
        <v>2.10822206605762E-2</v>
      </c>
      <c r="G457" s="3" t="str">
        <f t="shared" si="70"/>
        <v/>
      </c>
      <c r="H457" s="3"/>
      <c r="J457" s="3" t="str">
        <f t="shared" si="71"/>
        <v/>
      </c>
      <c r="K457" s="3"/>
      <c r="M457" s="3" t="str">
        <f t="shared" si="72"/>
        <v/>
      </c>
      <c r="N457" s="3"/>
      <c r="P457" s="3" t="str">
        <f t="shared" si="73"/>
        <v/>
      </c>
      <c r="Q457" s="3"/>
      <c r="S457" s="3" t="str">
        <f t="shared" si="74"/>
        <v/>
      </c>
      <c r="T457" s="3"/>
      <c r="V457" s="3" t="str">
        <f t="shared" si="75"/>
        <v/>
      </c>
      <c r="W457" s="3"/>
      <c r="Y457" s="3" t="str">
        <f t="shared" si="76"/>
        <v/>
      </c>
      <c r="Z457" s="3"/>
      <c r="AB457" s="3" t="str">
        <f t="shared" si="77"/>
        <v/>
      </c>
      <c r="AC457" s="3"/>
      <c r="AE457" s="3">
        <f t="shared" si="78"/>
        <v>451</v>
      </c>
      <c r="AF457" s="3" t="str">
        <v>Staff: Yuuki Shinjou (Art Director)</v>
      </c>
      <c r="AH457" s="3">
        <f t="shared" si="79"/>
        <v>451</v>
      </c>
      <c r="AI457" s="3" t="str">
        <v>Staff Role: Theme Song Performance (ED eps 1, 13)</v>
      </c>
    </row>
    <row r="458" spans="1:35" x14ac:dyDescent="0.3">
      <c r="A458" t="str">
        <f>HYPERLINK("https://anilist.co/staff/97076","Staff: Reiko Yoshida (Series Composition)")</f>
        <v>Staff: Reiko Yoshida (Series Composition)</v>
      </c>
      <c r="B458" s="5">
        <v>75</v>
      </c>
      <c r="C458" s="9">
        <v>2</v>
      </c>
      <c r="D458" s="6">
        <v>2.8109627547434998E-4</v>
      </c>
      <c r="E458" s="7">
        <v>2.10822206605762E-2</v>
      </c>
      <c r="G458" s="3" t="str">
        <f t="shared" si="70"/>
        <v/>
      </c>
      <c r="H458" s="3"/>
      <c r="J458" s="3" t="str">
        <f t="shared" si="71"/>
        <v/>
      </c>
      <c r="K458" s="3"/>
      <c r="M458" s="3" t="str">
        <f t="shared" si="72"/>
        <v/>
      </c>
      <c r="N458" s="3"/>
      <c r="P458" s="3" t="str">
        <f t="shared" si="73"/>
        <v/>
      </c>
      <c r="Q458" s="3"/>
      <c r="S458" s="3" t="str">
        <f t="shared" si="74"/>
        <v/>
      </c>
      <c r="T458" s="3"/>
      <c r="V458" s="3" t="str">
        <f t="shared" si="75"/>
        <v/>
      </c>
      <c r="W458" s="3"/>
      <c r="Y458" s="3" t="str">
        <f t="shared" si="76"/>
        <v/>
      </c>
      <c r="Z458" s="3"/>
      <c r="AB458" s="3" t="str">
        <f t="shared" si="77"/>
        <v/>
      </c>
      <c r="AC458" s="3"/>
      <c r="AE458" s="3">
        <f t="shared" si="78"/>
        <v>452</v>
      </c>
      <c r="AF458" s="3" t="str">
        <v>Staff: Kaori Satou (Prop Design)</v>
      </c>
      <c r="AH458" s="3">
        <f t="shared" si="79"/>
        <v>452</v>
      </c>
      <c r="AI458" s="3" t="str">
        <v>Staff Role: Theme Song Performance (ED eps 1, 11-13)</v>
      </c>
    </row>
    <row r="459" spans="1:35" x14ac:dyDescent="0.3">
      <c r="A459" t="str">
        <f>HYPERLINK("https://anilist.co/staff/140049","Staff: Michiru (Music)")</f>
        <v>Staff: Michiru (Music)</v>
      </c>
      <c r="B459" s="5">
        <v>75</v>
      </c>
      <c r="C459" s="9">
        <v>2</v>
      </c>
      <c r="D459" s="6">
        <v>2.8109627547434998E-4</v>
      </c>
      <c r="E459" s="7">
        <v>2.10822206605762E-2</v>
      </c>
      <c r="G459" s="3" t="str">
        <f t="shared" si="70"/>
        <v/>
      </c>
      <c r="H459" s="3"/>
      <c r="J459" s="3" t="str">
        <f t="shared" si="71"/>
        <v/>
      </c>
      <c r="K459" s="3"/>
      <c r="M459" s="3" t="str">
        <f t="shared" si="72"/>
        <v/>
      </c>
      <c r="N459" s="3"/>
      <c r="P459" s="3" t="str">
        <f t="shared" si="73"/>
        <v/>
      </c>
      <c r="Q459" s="3"/>
      <c r="S459" s="3" t="str">
        <f t="shared" si="74"/>
        <v/>
      </c>
      <c r="T459" s="3"/>
      <c r="V459" s="3" t="str">
        <f t="shared" si="75"/>
        <v/>
      </c>
      <c r="W459" s="3"/>
      <c r="Y459" s="3" t="str">
        <f t="shared" si="76"/>
        <v/>
      </c>
      <c r="Z459" s="3"/>
      <c r="AB459" s="3" t="str">
        <f t="shared" si="77"/>
        <v/>
      </c>
      <c r="AC459" s="3"/>
      <c r="AE459" s="3">
        <f t="shared" si="78"/>
        <v>453</v>
      </c>
      <c r="AF459" s="3" t="str">
        <v>Staff: Mako Aboshi (Creature Design)</v>
      </c>
      <c r="AH459" s="3">
        <f t="shared" si="79"/>
        <v>453</v>
      </c>
      <c r="AI459" s="3" t="str">
        <v>Staff Role: Theme Song Performance (ED eps 1-3, 13)</v>
      </c>
    </row>
    <row r="460" spans="1:35" x14ac:dyDescent="0.3">
      <c r="A460" t="str">
        <f>HYPERLINK("https://anilist.co/staff/107198","Staff: Jukki Hanada (Series Composition)")</f>
        <v>Staff: Jukki Hanada (Series Composition)</v>
      </c>
      <c r="B460" s="5">
        <v>75</v>
      </c>
      <c r="C460" s="9">
        <v>2</v>
      </c>
      <c r="D460" s="6">
        <v>2.8109627547434998E-4</v>
      </c>
      <c r="E460" s="7">
        <v>2.10822206605762E-2</v>
      </c>
      <c r="G460" s="3" t="str">
        <f t="shared" si="70"/>
        <v/>
      </c>
      <c r="H460" s="3"/>
      <c r="J460" s="3" t="str">
        <f t="shared" si="71"/>
        <v/>
      </c>
      <c r="K460" s="3"/>
      <c r="M460" s="3" t="str">
        <f t="shared" si="72"/>
        <v/>
      </c>
      <c r="N460" s="3"/>
      <c r="P460" s="3" t="str">
        <f t="shared" si="73"/>
        <v/>
      </c>
      <c r="Q460" s="3"/>
      <c r="S460" s="3" t="str">
        <f t="shared" si="74"/>
        <v/>
      </c>
      <c r="T460" s="3"/>
      <c r="V460" s="3" t="str">
        <f t="shared" si="75"/>
        <v/>
      </c>
      <c r="W460" s="3"/>
      <c r="Y460" s="3" t="str">
        <f t="shared" si="76"/>
        <v/>
      </c>
      <c r="Z460" s="3"/>
      <c r="AB460" s="3" t="str">
        <f t="shared" si="77"/>
        <v/>
      </c>
      <c r="AC460" s="3"/>
      <c r="AE460" s="3">
        <f t="shared" si="78"/>
        <v>454</v>
      </c>
      <c r="AF460" s="3" t="str">
        <v>Staff: Tarou Masuda (Music)</v>
      </c>
      <c r="AH460" s="3">
        <f t="shared" si="79"/>
        <v>454</v>
      </c>
      <c r="AI460" s="3" t="str">
        <v>Staff Role: Theme Song Performance (ED eps 1, 7, 8, 13)</v>
      </c>
    </row>
    <row r="461" spans="1:35" x14ac:dyDescent="0.3">
      <c r="A461" t="str">
        <f>HYPERLINK("https://anilist.co/staff/110647","Staff: Shigemi Ikeda (Art Director)")</f>
        <v>Staff: Shigemi Ikeda (Art Director)</v>
      </c>
      <c r="B461" s="5">
        <v>75</v>
      </c>
      <c r="C461" s="9">
        <v>2</v>
      </c>
      <c r="D461" s="6">
        <v>2.8109627547434998E-4</v>
      </c>
      <c r="E461" s="7">
        <v>2.10822206605762E-2</v>
      </c>
      <c r="G461" s="3" t="str">
        <f t="shared" si="70"/>
        <v/>
      </c>
      <c r="H461" s="3"/>
      <c r="J461" s="3" t="str">
        <f t="shared" si="71"/>
        <v/>
      </c>
      <c r="K461" s="3"/>
      <c r="M461" s="3" t="str">
        <f t="shared" si="72"/>
        <v/>
      </c>
      <c r="N461" s="3"/>
      <c r="P461" s="3" t="str">
        <f t="shared" si="73"/>
        <v/>
      </c>
      <c r="Q461" s="3"/>
      <c r="S461" s="3" t="str">
        <f t="shared" si="74"/>
        <v/>
      </c>
      <c r="T461" s="3"/>
      <c r="V461" s="3" t="str">
        <f t="shared" si="75"/>
        <v/>
      </c>
      <c r="W461" s="3"/>
      <c r="Y461" s="3" t="str">
        <f t="shared" si="76"/>
        <v/>
      </c>
      <c r="Z461" s="3"/>
      <c r="AB461" s="3" t="str">
        <f t="shared" si="77"/>
        <v/>
      </c>
      <c r="AC461" s="3"/>
      <c r="AE461" s="3">
        <f t="shared" si="78"/>
        <v>455</v>
      </c>
      <c r="AF461" s="3" t="str">
        <v>Staff: Riko Sasaki (Theme Song Performance (ED))</v>
      </c>
      <c r="AH461" s="3">
        <f t="shared" si="79"/>
        <v>455</v>
      </c>
      <c r="AI461" s="3" t="str">
        <v>Staff Role: ADR Director</v>
      </c>
    </row>
    <row r="462" spans="1:35" x14ac:dyDescent="0.3">
      <c r="A462" t="str">
        <f>HYPERLINK("https://anilist.co/staff/120001","Staff: Yukiko Maruyama (Art Director)")</f>
        <v>Staff: Yukiko Maruyama (Art Director)</v>
      </c>
      <c r="B462" s="5">
        <v>75</v>
      </c>
      <c r="C462" s="9">
        <v>2</v>
      </c>
      <c r="D462" s="6">
        <v>2.8109627547434998E-4</v>
      </c>
      <c r="E462" s="7">
        <v>2.10822206605762E-2</v>
      </c>
      <c r="G462" s="3" t="str">
        <f t="shared" si="70"/>
        <v/>
      </c>
      <c r="H462" s="3"/>
      <c r="J462" s="3" t="str">
        <f t="shared" si="71"/>
        <v/>
      </c>
      <c r="K462" s="3"/>
      <c r="M462" s="3" t="str">
        <f t="shared" si="72"/>
        <v/>
      </c>
      <c r="N462" s="3"/>
      <c r="P462" s="3" t="str">
        <f t="shared" si="73"/>
        <v/>
      </c>
      <c r="Q462" s="3"/>
      <c r="S462" s="3" t="str">
        <f t="shared" si="74"/>
        <v/>
      </c>
      <c r="T462" s="3"/>
      <c r="V462" s="3" t="str">
        <f t="shared" si="75"/>
        <v/>
      </c>
      <c r="W462" s="3"/>
      <c r="Y462" s="3" t="str">
        <f t="shared" si="76"/>
        <v/>
      </c>
      <c r="Z462" s="3"/>
      <c r="AB462" s="3" t="str">
        <f t="shared" si="77"/>
        <v/>
      </c>
      <c r="AC462" s="3"/>
      <c r="AE462" s="3">
        <f t="shared" si="78"/>
        <v>456</v>
      </c>
      <c r="AF462" s="3" t="str">
        <v>Staff: Junjou no Afilia  (Theme Song Performance (OP, ED: ep 12))</v>
      </c>
      <c r="AH462" s="3">
        <f t="shared" si="79"/>
        <v>456</v>
      </c>
      <c r="AI462" s="3" t="str">
        <v>Staff Role: Theme Song Performance  (ED)</v>
      </c>
    </row>
    <row r="463" spans="1:35" x14ac:dyDescent="0.3">
      <c r="A463" t="str">
        <f>HYPERLINK("https://anilist.co/staff/118978","Staff: Hisayo Usui (Art Director)")</f>
        <v>Staff: Hisayo Usui (Art Director)</v>
      </c>
      <c r="B463" s="5">
        <v>75</v>
      </c>
      <c r="C463" s="9">
        <v>2</v>
      </c>
      <c r="D463" s="6">
        <v>2.8109627547434998E-4</v>
      </c>
      <c r="E463" s="7">
        <v>2.10822206605762E-2</v>
      </c>
      <c r="G463" s="3" t="str">
        <f t="shared" si="70"/>
        <v/>
      </c>
      <c r="H463" s="3"/>
      <c r="J463" s="3" t="str">
        <f t="shared" si="71"/>
        <v/>
      </c>
      <c r="K463" s="3"/>
      <c r="M463" s="3" t="str">
        <f t="shared" si="72"/>
        <v/>
      </c>
      <c r="N463" s="3"/>
      <c r="P463" s="3" t="str">
        <f t="shared" si="73"/>
        <v/>
      </c>
      <c r="Q463" s="3"/>
      <c r="S463" s="3" t="str">
        <f t="shared" si="74"/>
        <v/>
      </c>
      <c r="T463" s="3"/>
      <c r="V463" s="3" t="str">
        <f t="shared" si="75"/>
        <v/>
      </c>
      <c r="W463" s="3"/>
      <c r="Y463" s="3" t="str">
        <f t="shared" si="76"/>
        <v/>
      </c>
      <c r="Z463" s="3"/>
      <c r="AB463" s="3" t="str">
        <f t="shared" si="77"/>
        <v/>
      </c>
      <c r="AC463" s="3"/>
      <c r="AE463" s="3">
        <f t="shared" si="78"/>
        <v>457</v>
      </c>
      <c r="AF463" s="3" t="str">
        <v>Staff: Hirohisa Kitamura (CG Director)</v>
      </c>
      <c r="AH463" s="3">
        <f t="shared" si="79"/>
        <v>457</v>
      </c>
      <c r="AI463" s="3" t="str">
        <v>Staff Role: Script  (ep 1, 2, 4, 5, 8, 10A, 10B, 11A, 12B, 12C)</v>
      </c>
    </row>
    <row r="464" spans="1:35" x14ac:dyDescent="0.3">
      <c r="A464" t="str">
        <f>HYPERLINK("https://anilist.co/staff/121910","Staff: Yayoi Tateishi (Sound Director)")</f>
        <v>Staff: Yayoi Tateishi (Sound Director)</v>
      </c>
      <c r="B464" s="5">
        <v>75</v>
      </c>
      <c r="C464" s="9">
        <v>2</v>
      </c>
      <c r="D464" s="6">
        <v>2.8109627547434998E-4</v>
      </c>
      <c r="E464" s="7">
        <v>2.10822206605762E-2</v>
      </c>
      <c r="G464" s="3" t="str">
        <f t="shared" si="70"/>
        <v/>
      </c>
      <c r="H464" s="3"/>
      <c r="J464" s="3" t="str">
        <f t="shared" si="71"/>
        <v/>
      </c>
      <c r="K464" s="3"/>
      <c r="M464" s="3" t="str">
        <f t="shared" si="72"/>
        <v/>
      </c>
      <c r="N464" s="3"/>
      <c r="P464" s="3" t="str">
        <f t="shared" si="73"/>
        <v/>
      </c>
      <c r="Q464" s="3"/>
      <c r="S464" s="3" t="str">
        <f t="shared" si="74"/>
        <v/>
      </c>
      <c r="T464" s="3"/>
      <c r="V464" s="3" t="str">
        <f t="shared" si="75"/>
        <v/>
      </c>
      <c r="W464" s="3"/>
      <c r="Y464" s="3" t="str">
        <f t="shared" si="76"/>
        <v/>
      </c>
      <c r="Z464" s="3"/>
      <c r="AB464" s="3" t="str">
        <f t="shared" si="77"/>
        <v/>
      </c>
      <c r="AC464" s="3"/>
      <c r="AE464" s="3">
        <f t="shared" si="78"/>
        <v>458</v>
      </c>
      <c r="AF464" s="3" t="str">
        <v>Staff: Natsumi Hirama (Color Design)</v>
      </c>
      <c r="AH464" s="3">
        <f t="shared" si="79"/>
        <v>458</v>
      </c>
      <c r="AI464" s="3" t="str">
        <v>Staff Role: Screenplay</v>
      </c>
    </row>
    <row r="465" spans="1:35" x14ac:dyDescent="0.3">
      <c r="A465" t="str">
        <f>HYPERLINK("https://anilist.co/staff/148160","Staff: Kenta Suzuki (Producer)")</f>
        <v>Staff: Kenta Suzuki (Producer)</v>
      </c>
      <c r="B465" s="5">
        <v>75</v>
      </c>
      <c r="C465" s="9">
        <v>2</v>
      </c>
      <c r="D465" s="6">
        <v>2.8109627547434998E-4</v>
      </c>
      <c r="E465" s="7">
        <v>2.10822206605762E-2</v>
      </c>
      <c r="G465" s="3" t="str">
        <f t="shared" si="70"/>
        <v/>
      </c>
      <c r="H465" s="3"/>
      <c r="J465" s="3" t="str">
        <f t="shared" si="71"/>
        <v/>
      </c>
      <c r="K465" s="3"/>
      <c r="M465" s="3" t="str">
        <f t="shared" si="72"/>
        <v/>
      </c>
      <c r="N465" s="3"/>
      <c r="P465" s="3" t="str">
        <f t="shared" si="73"/>
        <v/>
      </c>
      <c r="Q465" s="3"/>
      <c r="S465" s="3" t="str">
        <f t="shared" si="74"/>
        <v/>
      </c>
      <c r="T465" s="3"/>
      <c r="V465" s="3" t="str">
        <f t="shared" si="75"/>
        <v/>
      </c>
      <c r="W465" s="3"/>
      <c r="Y465" s="3" t="str">
        <f t="shared" si="76"/>
        <v/>
      </c>
      <c r="Z465" s="3"/>
      <c r="AB465" s="3" t="str">
        <f t="shared" si="77"/>
        <v/>
      </c>
      <c r="AC465" s="3"/>
      <c r="AE465" s="3">
        <f t="shared" si="78"/>
        <v>459</v>
      </c>
      <c r="AF465" s="3" t="str">
        <v>Staff: Daiji Horiuchi (Production)</v>
      </c>
      <c r="AH465" s="3">
        <f t="shared" si="79"/>
        <v>459</v>
      </c>
      <c r="AI465" s="3" t="str">
        <v>Staff Role: Storyboard  (eps 5a, 10a)</v>
      </c>
    </row>
    <row r="466" spans="1:35" x14ac:dyDescent="0.3">
      <c r="A466" t="str">
        <f>HYPERLINK("https://anilist.co/staff/103538","Staff: Yoshimasa Hiraike (Series Composition)")</f>
        <v>Staff: Yoshimasa Hiraike (Series Composition)</v>
      </c>
      <c r="B466" s="5">
        <v>75</v>
      </c>
      <c r="C466" s="9">
        <v>2</v>
      </c>
      <c r="D466" s="6">
        <v>2.8109627547434998E-4</v>
      </c>
      <c r="E466" s="7">
        <v>2.10822206605762E-2</v>
      </c>
      <c r="G466" s="3" t="str">
        <f t="shared" si="70"/>
        <v/>
      </c>
      <c r="H466" s="3"/>
      <c r="J466" s="3" t="str">
        <f t="shared" si="71"/>
        <v/>
      </c>
      <c r="K466" s="3"/>
      <c r="M466" s="3" t="str">
        <f t="shared" si="72"/>
        <v/>
      </c>
      <c r="N466" s="3"/>
      <c r="P466" s="3" t="str">
        <f t="shared" si="73"/>
        <v/>
      </c>
      <c r="Q466" s="3"/>
      <c r="S466" s="3" t="str">
        <f t="shared" si="74"/>
        <v/>
      </c>
      <c r="T466" s="3"/>
      <c r="V466" s="3" t="str">
        <f t="shared" si="75"/>
        <v/>
      </c>
      <c r="W466" s="3"/>
      <c r="Y466" s="3" t="str">
        <f t="shared" si="76"/>
        <v/>
      </c>
      <c r="Z466" s="3"/>
      <c r="AB466" s="3" t="str">
        <f t="shared" si="77"/>
        <v/>
      </c>
      <c r="AC466" s="3"/>
      <c r="AE466" s="3">
        <f t="shared" si="78"/>
        <v>460</v>
      </c>
      <c r="AF466" s="3" t="str">
        <v>Staff: Haruki Satomi (Production)</v>
      </c>
      <c r="AH466" s="3">
        <f t="shared" si="79"/>
        <v>460</v>
      </c>
      <c r="AI466" s="3" t="str">
        <v>Staff Role: Episode Director  (eps 5a, 10a, 10b)</v>
      </c>
    </row>
    <row r="467" spans="1:35" x14ac:dyDescent="0.3">
      <c r="A467" t="s">
        <v>28</v>
      </c>
      <c r="B467" s="5">
        <v>70</v>
      </c>
      <c r="C467" s="9">
        <v>2</v>
      </c>
      <c r="D467" s="6">
        <v>2.8109627547434998E-4</v>
      </c>
      <c r="E467" s="7">
        <v>1.96767392832044E-2</v>
      </c>
      <c r="G467" s="3" t="str">
        <f t="shared" si="70"/>
        <v/>
      </c>
      <c r="H467" s="3"/>
      <c r="J467" s="3" t="str">
        <f t="shared" si="71"/>
        <v/>
      </c>
      <c r="K467" s="3"/>
      <c r="M467" s="3" t="str">
        <f t="shared" si="72"/>
        <v/>
      </c>
      <c r="N467" s="3"/>
      <c r="P467" s="3" t="str">
        <f t="shared" si="73"/>
        <v/>
      </c>
      <c r="Q467" s="3"/>
      <c r="S467" s="3" t="str">
        <f t="shared" si="74"/>
        <v/>
      </c>
      <c r="T467" s="3"/>
      <c r="V467" s="3" t="str">
        <f t="shared" si="75"/>
        <v/>
      </c>
      <c r="W467" s="3"/>
      <c r="Y467" s="3" t="str">
        <f t="shared" si="76"/>
        <v/>
      </c>
      <c r="Z467" s="3"/>
      <c r="AB467" s="3" t="str">
        <f t="shared" si="77"/>
        <v/>
      </c>
      <c r="AC467" s="3"/>
      <c r="AE467" s="3">
        <f t="shared" si="78"/>
        <v>461</v>
      </c>
      <c r="AF467" s="3" t="str">
        <v>Staff: Taiji Misaka (Production)</v>
      </c>
      <c r="AH467" s="3">
        <f t="shared" si="79"/>
        <v>461</v>
      </c>
      <c r="AI467" s="3" t="str">
        <v>Staff Role: Key Animation  (ep 7)</v>
      </c>
    </row>
    <row r="468" spans="1:35" x14ac:dyDescent="0.3">
      <c r="A468" t="s">
        <v>80</v>
      </c>
      <c r="B468" s="5">
        <v>70</v>
      </c>
      <c r="C468" s="9">
        <v>2</v>
      </c>
      <c r="D468" s="6">
        <v>2.8109627547434998E-4</v>
      </c>
      <c r="E468" s="7">
        <v>1.96767392832044E-2</v>
      </c>
      <c r="G468" s="3" t="str">
        <f t="shared" si="70"/>
        <v/>
      </c>
      <c r="H468" s="3"/>
      <c r="J468" s="3" t="str">
        <f t="shared" si="71"/>
        <v/>
      </c>
      <c r="K468" s="3"/>
      <c r="M468" s="3" t="str">
        <f t="shared" si="72"/>
        <v/>
      </c>
      <c r="N468" s="3"/>
      <c r="P468" s="3" t="str">
        <f t="shared" si="73"/>
        <v/>
      </c>
      <c r="Q468" s="3"/>
      <c r="S468" s="3" t="str">
        <f t="shared" si="74"/>
        <v/>
      </c>
      <c r="T468" s="3"/>
      <c r="V468" s="3" t="str">
        <f t="shared" si="75"/>
        <v/>
      </c>
      <c r="W468" s="3"/>
      <c r="Y468" s="3" t="str">
        <f t="shared" si="76"/>
        <v/>
      </c>
      <c r="Z468" s="3"/>
      <c r="AB468" s="3" t="str">
        <f t="shared" si="77"/>
        <v/>
      </c>
      <c r="AC468" s="3"/>
      <c r="AE468" s="3">
        <f t="shared" si="78"/>
        <v>462</v>
      </c>
      <c r="AF468" s="3" t="str">
        <v>Staff: Daisuke Namikawa (Insert Song Performance  (6))</v>
      </c>
      <c r="AH468" s="3">
        <f t="shared" si="79"/>
        <v>462</v>
      </c>
      <c r="AI468" s="3" t="str">
        <v>Staff Role: Storyboard  (eps 6B, 6C)</v>
      </c>
    </row>
    <row r="469" spans="1:35" x14ac:dyDescent="0.3">
      <c r="A469" t="s">
        <v>159</v>
      </c>
      <c r="B469" s="5">
        <v>70</v>
      </c>
      <c r="C469" s="9">
        <v>2</v>
      </c>
      <c r="D469" s="6">
        <v>2.8109627547434998E-4</v>
      </c>
      <c r="E469" s="7">
        <v>1.96767392832044E-2</v>
      </c>
      <c r="G469" s="3" t="str">
        <f t="shared" si="70"/>
        <v/>
      </c>
      <c r="H469" s="3"/>
      <c r="J469" s="3" t="str">
        <f t="shared" si="71"/>
        <v/>
      </c>
      <c r="K469" s="3"/>
      <c r="M469" s="3" t="str">
        <f t="shared" si="72"/>
        <v/>
      </c>
      <c r="N469" s="3"/>
      <c r="P469" s="3" t="str">
        <f t="shared" si="73"/>
        <v/>
      </c>
      <c r="Q469" s="3"/>
      <c r="S469" s="3" t="str">
        <f t="shared" si="74"/>
        <v/>
      </c>
      <c r="T469" s="3"/>
      <c r="V469" s="3" t="str">
        <f t="shared" si="75"/>
        <v/>
      </c>
      <c r="W469" s="3"/>
      <c r="Y469" s="3" t="str">
        <f t="shared" si="76"/>
        <v/>
      </c>
      <c r="Z469" s="3"/>
      <c r="AB469" s="3" t="str">
        <f t="shared" si="77"/>
        <v/>
      </c>
      <c r="AC469" s="3"/>
      <c r="AE469" s="3">
        <f t="shared" si="78"/>
        <v>463</v>
      </c>
      <c r="AF469" s="3" t="str">
        <v>Staff: Ryou Kunihiko (Music)</v>
      </c>
      <c r="AH469" s="3">
        <f t="shared" si="79"/>
        <v>463</v>
      </c>
      <c r="AI469" s="3" t="str">
        <v>Staff Role: Episode Director  (eps 6B, 6C)</v>
      </c>
    </row>
    <row r="470" spans="1:35" x14ac:dyDescent="0.3">
      <c r="A470" t="s">
        <v>161</v>
      </c>
      <c r="B470" s="5">
        <v>70</v>
      </c>
      <c r="C470" s="9">
        <v>2</v>
      </c>
      <c r="D470" s="6">
        <v>2.8109627547434998E-4</v>
      </c>
      <c r="E470" s="7">
        <v>1.96767392832044E-2</v>
      </c>
      <c r="G470" s="3" t="str">
        <f t="shared" si="70"/>
        <v/>
      </c>
      <c r="H470" s="3"/>
      <c r="J470" s="3" t="str">
        <f t="shared" si="71"/>
        <v/>
      </c>
      <c r="K470" s="3"/>
      <c r="M470" s="3" t="str">
        <f t="shared" si="72"/>
        <v/>
      </c>
      <c r="N470" s="3"/>
      <c r="P470" s="3" t="str">
        <f t="shared" si="73"/>
        <v/>
      </c>
      <c r="Q470" s="3"/>
      <c r="S470" s="3" t="str">
        <f t="shared" si="74"/>
        <v/>
      </c>
      <c r="T470" s="3"/>
      <c r="V470" s="3" t="str">
        <f t="shared" si="75"/>
        <v/>
      </c>
      <c r="W470" s="3"/>
      <c r="Y470" s="3" t="str">
        <f t="shared" si="76"/>
        <v/>
      </c>
      <c r="Z470" s="3"/>
      <c r="AB470" s="3" t="str">
        <f t="shared" si="77"/>
        <v/>
      </c>
      <c r="AC470" s="3"/>
      <c r="AE470" s="3">
        <f t="shared" si="78"/>
        <v>464</v>
      </c>
      <c r="AF470" s="3" t="str">
        <v>Staff: Shin Oonuma (Storyboard  (ep 10))</v>
      </c>
      <c r="AH470" s="3">
        <f t="shared" si="79"/>
        <v>464</v>
      </c>
      <c r="AI470" s="3" t="str">
        <v>Staff Role: Episode Director  (ep 5c)</v>
      </c>
    </row>
    <row r="471" spans="1:35" x14ac:dyDescent="0.3">
      <c r="A471" t="s">
        <v>180</v>
      </c>
      <c r="B471" s="5">
        <v>70</v>
      </c>
      <c r="C471" s="9">
        <v>2</v>
      </c>
      <c r="D471" s="6">
        <v>2.8109627547434998E-4</v>
      </c>
      <c r="E471" s="7">
        <v>1.96767392832044E-2</v>
      </c>
      <c r="G471" s="3" t="str">
        <f t="shared" ref="G471:G502" si="80">IF(NOT(ISBLANK(H471)),IF(NOT(ISNUMBER(G470)),1,G470+1),"")</f>
        <v/>
      </c>
      <c r="H471" s="3"/>
      <c r="J471" s="3" t="str">
        <f t="shared" ref="J471:J502" si="81">IF(NOT(ISBLANK(K471)),IF(NOT(ISNUMBER(J470)),1,J470+1),"")</f>
        <v/>
      </c>
      <c r="K471" s="3"/>
      <c r="M471" s="3" t="str">
        <f t="shared" ref="M471:M502" si="82">IF(NOT(ISBLANK(N471)),IF(NOT(ISNUMBER(M470)),1,M470+1),"")</f>
        <v/>
      </c>
      <c r="N471" s="3"/>
      <c r="P471" s="3" t="str">
        <f t="shared" ref="P471:P502" si="83">IF(NOT(ISBLANK(Q471)),IF(NOT(ISNUMBER(P470)),1,P470+1),"")</f>
        <v/>
      </c>
      <c r="Q471" s="3"/>
      <c r="S471" s="3" t="str">
        <f t="shared" ref="S471:S502" si="84">IF(NOT(ISBLANK(T471)),IF(NOT(ISNUMBER(S470)),1,S470+1),"")</f>
        <v/>
      </c>
      <c r="T471" s="3"/>
      <c r="V471" s="3" t="str">
        <f t="shared" ref="V471:V502" si="85">IF(NOT(ISBLANK(W471)),IF(NOT(ISNUMBER(V470)),1,V470+1),"")</f>
        <v/>
      </c>
      <c r="W471" s="3"/>
      <c r="Y471" s="3" t="str">
        <f t="shared" ref="Y471:Y502" si="86">IF(NOT(ISBLANK(Z471)),IF(NOT(ISNUMBER(Y470)),1,Y470+1),"")</f>
        <v/>
      </c>
      <c r="Z471" s="3"/>
      <c r="AB471" s="3" t="str">
        <f t="shared" ref="AB471:AB502" si="87">IF(NOT(ISBLANK(AC471)),IF(NOT(ISNUMBER(AB470)),1,AB470+1),"")</f>
        <v/>
      </c>
      <c r="AC471" s="3"/>
      <c r="AE471" s="3">
        <f t="shared" ref="AE471:AE502" si="88">IF(NOT(ISBLANK(AF471)),IF(NOT(ISNUMBER(AE470)),1,AE470+1),"")</f>
        <v>465</v>
      </c>
      <c r="AF471" s="3" t="str">
        <v>Staff: Joel Mcdonald (ADR Director (English))</v>
      </c>
      <c r="AH471" s="3">
        <f t="shared" si="79"/>
        <v>465</v>
      </c>
      <c r="AI471" s="3" t="str">
        <v>Staff Role: Episode Director (eps 4, 11)</v>
      </c>
    </row>
    <row r="472" spans="1:35" x14ac:dyDescent="0.3">
      <c r="A472" t="s">
        <v>229</v>
      </c>
      <c r="B472" s="5">
        <v>70</v>
      </c>
      <c r="C472" s="9">
        <v>2</v>
      </c>
      <c r="D472" s="6">
        <v>2.8109627547434998E-4</v>
      </c>
      <c r="E472" s="7">
        <v>1.96767392832044E-2</v>
      </c>
      <c r="G472" s="3" t="str">
        <f t="shared" si="80"/>
        <v/>
      </c>
      <c r="H472" s="3"/>
      <c r="J472" s="3" t="str">
        <f t="shared" si="81"/>
        <v/>
      </c>
      <c r="K472" s="3"/>
      <c r="M472" s="3" t="str">
        <f t="shared" si="82"/>
        <v/>
      </c>
      <c r="N472" s="3"/>
      <c r="P472" s="3" t="str">
        <f t="shared" si="83"/>
        <v/>
      </c>
      <c r="Q472" s="3"/>
      <c r="S472" s="3" t="str">
        <f t="shared" si="84"/>
        <v/>
      </c>
      <c r="T472" s="3"/>
      <c r="V472" s="3" t="str">
        <f t="shared" si="85"/>
        <v/>
      </c>
      <c r="W472" s="3"/>
      <c r="Y472" s="3" t="str">
        <f t="shared" si="86"/>
        <v/>
      </c>
      <c r="Z472" s="3"/>
      <c r="AB472" s="3" t="str">
        <f t="shared" si="87"/>
        <v/>
      </c>
      <c r="AC472" s="3"/>
      <c r="AE472" s="3">
        <f t="shared" si="88"/>
        <v>466</v>
      </c>
      <c r="AF472" s="3" t="str">
        <v>Staff: Itsuko Takeda (Character Design)</v>
      </c>
      <c r="AH472" s="3">
        <f t="shared" si="79"/>
        <v>466</v>
      </c>
      <c r="AI472" s="3" t="str">
        <v>Staff Role: Insert Song Lyrics</v>
      </c>
    </row>
    <row r="473" spans="1:35" x14ac:dyDescent="0.3">
      <c r="A473" t="s">
        <v>232</v>
      </c>
      <c r="B473" s="5">
        <v>70</v>
      </c>
      <c r="C473" s="9">
        <v>2</v>
      </c>
      <c r="D473" s="6">
        <v>2.8109627547434998E-4</v>
      </c>
      <c r="E473" s="7">
        <v>1.96767392832044E-2</v>
      </c>
      <c r="G473" s="3" t="str">
        <f t="shared" si="80"/>
        <v/>
      </c>
      <c r="H473" s="3"/>
      <c r="J473" s="3" t="str">
        <f t="shared" si="81"/>
        <v/>
      </c>
      <c r="K473" s="3"/>
      <c r="M473" s="3" t="str">
        <f t="shared" si="82"/>
        <v/>
      </c>
      <c r="N473" s="3"/>
      <c r="P473" s="3" t="str">
        <f t="shared" si="83"/>
        <v/>
      </c>
      <c r="Q473" s="3"/>
      <c r="S473" s="3" t="str">
        <f t="shared" si="84"/>
        <v/>
      </c>
      <c r="T473" s="3"/>
      <c r="V473" s="3" t="str">
        <f t="shared" si="85"/>
        <v/>
      </c>
      <c r="W473" s="3"/>
      <c r="Y473" s="3" t="str">
        <f t="shared" si="86"/>
        <v/>
      </c>
      <c r="Z473" s="3"/>
      <c r="AB473" s="3" t="str">
        <f t="shared" si="87"/>
        <v/>
      </c>
      <c r="AC473" s="3"/>
      <c r="AE473" s="3">
        <f t="shared" si="88"/>
        <v>467</v>
      </c>
      <c r="AF473" s="3" t="str">
        <v>Staff: Chiaki Kuriyama (Theme Song Performance (OP))</v>
      </c>
      <c r="AH473" s="3">
        <f t="shared" si="79"/>
        <v>467</v>
      </c>
      <c r="AI473" s="3" t="str">
        <v>Staff Role: Insert Song Composition</v>
      </c>
    </row>
    <row r="474" spans="1:35" x14ac:dyDescent="0.3">
      <c r="A474" t="s">
        <v>236</v>
      </c>
      <c r="B474" s="5">
        <v>70</v>
      </c>
      <c r="C474" s="9">
        <v>2</v>
      </c>
      <c r="D474" s="6">
        <v>2.8109627547434998E-4</v>
      </c>
      <c r="E474" s="7">
        <v>1.96767392832044E-2</v>
      </c>
      <c r="G474" s="3" t="str">
        <f t="shared" si="80"/>
        <v/>
      </c>
      <c r="H474" s="3"/>
      <c r="J474" s="3" t="str">
        <f t="shared" si="81"/>
        <v/>
      </c>
      <c r="K474" s="3"/>
      <c r="M474" s="3" t="str">
        <f t="shared" si="82"/>
        <v/>
      </c>
      <c r="N474" s="3"/>
      <c r="P474" s="3" t="str">
        <f t="shared" si="83"/>
        <v/>
      </c>
      <c r="Q474" s="3"/>
      <c r="S474" s="3" t="str">
        <f t="shared" si="84"/>
        <v/>
      </c>
      <c r="T474" s="3"/>
      <c r="V474" s="3" t="str">
        <f t="shared" si="85"/>
        <v/>
      </c>
      <c r="W474" s="3"/>
      <c r="Y474" s="3" t="str">
        <f t="shared" si="86"/>
        <v/>
      </c>
      <c r="Z474" s="3"/>
      <c r="AB474" s="3" t="str">
        <f t="shared" si="87"/>
        <v/>
      </c>
      <c r="AC474" s="3"/>
      <c r="AE474" s="3">
        <f t="shared" si="88"/>
        <v>468</v>
      </c>
      <c r="AF474" s="3" t="str">
        <v>Staff:  ViViD (Theme Song Performance (ED))</v>
      </c>
      <c r="AH474" s="3">
        <f t="shared" si="79"/>
        <v>468</v>
      </c>
      <c r="AI474" s="3" t="str">
        <v>Staff Role: Image Board</v>
      </c>
    </row>
    <row r="475" spans="1:35" x14ac:dyDescent="0.3">
      <c r="A475" t="s">
        <v>239</v>
      </c>
      <c r="B475" s="5">
        <v>70</v>
      </c>
      <c r="C475" s="9">
        <v>2</v>
      </c>
      <c r="D475" s="6">
        <v>2.8109627547434998E-4</v>
      </c>
      <c r="E475" s="7">
        <v>1.96767392832044E-2</v>
      </c>
      <c r="G475" s="3" t="str">
        <f t="shared" si="80"/>
        <v/>
      </c>
      <c r="H475" s="3"/>
      <c r="J475" s="3" t="str">
        <f t="shared" si="81"/>
        <v/>
      </c>
      <c r="K475" s="3"/>
      <c r="M475" s="3" t="str">
        <f t="shared" si="82"/>
        <v/>
      </c>
      <c r="N475" s="3"/>
      <c r="P475" s="3" t="str">
        <f t="shared" si="83"/>
        <v/>
      </c>
      <c r="Q475" s="3"/>
      <c r="S475" s="3" t="str">
        <f t="shared" si="84"/>
        <v/>
      </c>
      <c r="T475" s="3"/>
      <c r="V475" s="3" t="str">
        <f t="shared" si="85"/>
        <v/>
      </c>
      <c r="W475" s="3"/>
      <c r="Y475" s="3" t="str">
        <f t="shared" si="86"/>
        <v/>
      </c>
      <c r="Z475" s="3"/>
      <c r="AB475" s="3" t="str">
        <f t="shared" si="87"/>
        <v/>
      </c>
      <c r="AC475" s="3"/>
      <c r="AE475" s="3">
        <f t="shared" si="88"/>
        <v>469</v>
      </c>
      <c r="AF475" s="3" t="str">
        <v>Staff: Toshiyuki Katou (Episode Director  (ep 1))</v>
      </c>
      <c r="AH475" s="3">
        <f t="shared" si="79"/>
        <v>469</v>
      </c>
      <c r="AI475" s="3" t="str">
        <v>Staff Role: Unit Director</v>
      </c>
    </row>
    <row r="476" spans="1:35" x14ac:dyDescent="0.3">
      <c r="A476" t="s">
        <v>240</v>
      </c>
      <c r="B476" s="5">
        <v>70</v>
      </c>
      <c r="C476" s="9">
        <v>2</v>
      </c>
      <c r="D476" s="6">
        <v>2.8109627547434998E-4</v>
      </c>
      <c r="E476" s="7">
        <v>1.96767392832044E-2</v>
      </c>
      <c r="G476" s="3" t="str">
        <f t="shared" si="80"/>
        <v/>
      </c>
      <c r="H476" s="3"/>
      <c r="J476" s="3" t="str">
        <f t="shared" si="81"/>
        <v/>
      </c>
      <c r="K476" s="3"/>
      <c r="M476" s="3" t="str">
        <f t="shared" si="82"/>
        <v/>
      </c>
      <c r="N476" s="3"/>
      <c r="P476" s="3" t="str">
        <f t="shared" si="83"/>
        <v/>
      </c>
      <c r="Q476" s="3"/>
      <c r="S476" s="3" t="str">
        <f t="shared" si="84"/>
        <v/>
      </c>
      <c r="T476" s="3"/>
      <c r="V476" s="3" t="str">
        <f t="shared" si="85"/>
        <v/>
      </c>
      <c r="W476" s="3"/>
      <c r="Y476" s="3" t="str">
        <f t="shared" si="86"/>
        <v/>
      </c>
      <c r="Z476" s="3"/>
      <c r="AB476" s="3" t="str">
        <f t="shared" si="87"/>
        <v/>
      </c>
      <c r="AC476" s="3"/>
      <c r="AE476" s="3">
        <f t="shared" si="88"/>
        <v>470</v>
      </c>
      <c r="AF476" s="3" t="str">
        <v>Staff: Toshiyuki Katou (Storyboard  (eps 1-3))</v>
      </c>
      <c r="AH476" s="3">
        <f t="shared" si="79"/>
        <v>470</v>
      </c>
      <c r="AI476" s="3" t="str">
        <v>Staff Role: Animation producer</v>
      </c>
    </row>
    <row r="477" spans="1:35" x14ac:dyDescent="0.3">
      <c r="A477" t="s">
        <v>245</v>
      </c>
      <c r="B477" s="5">
        <v>70</v>
      </c>
      <c r="C477" s="9">
        <v>2</v>
      </c>
      <c r="D477" s="6">
        <v>2.8109627547434998E-4</v>
      </c>
      <c r="E477" s="7">
        <v>1.96767392832044E-2</v>
      </c>
      <c r="G477" s="3" t="str">
        <f t="shared" si="80"/>
        <v/>
      </c>
      <c r="H477" s="3"/>
      <c r="J477" s="3" t="str">
        <f t="shared" si="81"/>
        <v/>
      </c>
      <c r="K477" s="3"/>
      <c r="M477" s="3" t="str">
        <f t="shared" si="82"/>
        <v/>
      </c>
      <c r="N477" s="3"/>
      <c r="P477" s="3" t="str">
        <f t="shared" si="83"/>
        <v/>
      </c>
      <c r="Q477" s="3"/>
      <c r="S477" s="3" t="str">
        <f t="shared" si="84"/>
        <v/>
      </c>
      <c r="T477" s="3"/>
      <c r="V477" s="3" t="str">
        <f t="shared" si="85"/>
        <v/>
      </c>
      <c r="W477" s="3"/>
      <c r="Y477" s="3" t="str">
        <f t="shared" si="86"/>
        <v/>
      </c>
      <c r="Z477" s="3"/>
      <c r="AB477" s="3" t="str">
        <f t="shared" si="87"/>
        <v/>
      </c>
      <c r="AC477" s="3"/>
      <c r="AE477" s="3">
        <f t="shared" si="88"/>
        <v>471</v>
      </c>
      <c r="AF477" s="3" t="str">
        <v>Staff: Toshiyuki Katou (Director)</v>
      </c>
      <c r="AH477" s="3">
        <f t="shared" si="79"/>
        <v>471</v>
      </c>
      <c r="AI477" s="3" t="str">
        <v>Staff Role: Insert Song Performance (ep 23)</v>
      </c>
    </row>
    <row r="478" spans="1:35" x14ac:dyDescent="0.3">
      <c r="A478" t="s">
        <v>290</v>
      </c>
      <c r="B478" s="5">
        <v>70</v>
      </c>
      <c r="C478" s="9">
        <v>2</v>
      </c>
      <c r="D478" s="6">
        <v>2.8109627547434998E-4</v>
      </c>
      <c r="E478" s="7">
        <v>1.96767392832044E-2</v>
      </c>
      <c r="G478" s="3" t="str">
        <f t="shared" si="80"/>
        <v/>
      </c>
      <c r="H478" s="3"/>
      <c r="J478" s="3" t="str">
        <f t="shared" si="81"/>
        <v/>
      </c>
      <c r="K478" s="3"/>
      <c r="M478" s="3" t="str">
        <f t="shared" si="82"/>
        <v/>
      </c>
      <c r="N478" s="3"/>
      <c r="P478" s="3" t="str">
        <f t="shared" si="83"/>
        <v/>
      </c>
      <c r="Q478" s="3"/>
      <c r="S478" s="3" t="str">
        <f t="shared" si="84"/>
        <v/>
      </c>
      <c r="T478" s="3"/>
      <c r="V478" s="3" t="str">
        <f t="shared" si="85"/>
        <v/>
      </c>
      <c r="W478" s="3"/>
      <c r="Y478" s="3" t="str">
        <f t="shared" si="86"/>
        <v/>
      </c>
      <c r="Z478" s="3"/>
      <c r="AB478" s="3" t="str">
        <f t="shared" si="87"/>
        <v/>
      </c>
      <c r="AC478" s="3"/>
      <c r="AE478" s="3">
        <f t="shared" si="88"/>
        <v>472</v>
      </c>
      <c r="AF478" s="3" t="str">
        <v>Staff: Naokatsu Tsuda (Episode Director  (ep 12))</v>
      </c>
      <c r="AH478" s="3">
        <f t="shared" si="79"/>
        <v>472</v>
      </c>
      <c r="AI478" s="3" t="str">
        <v>Staff Role: Insert Song Lyrics (ep 23)</v>
      </c>
    </row>
    <row r="479" spans="1:35" x14ac:dyDescent="0.3">
      <c r="A479" t="s">
        <v>314</v>
      </c>
      <c r="B479" s="5">
        <v>70</v>
      </c>
      <c r="C479" s="9">
        <v>2</v>
      </c>
      <c r="D479" s="6">
        <v>2.8109627547434998E-4</v>
      </c>
      <c r="E479" s="7">
        <v>1.96767392832044E-2</v>
      </c>
      <c r="G479" s="3" t="str">
        <f t="shared" si="80"/>
        <v/>
      </c>
      <c r="H479" s="3"/>
      <c r="J479" s="3" t="str">
        <f t="shared" si="81"/>
        <v/>
      </c>
      <c r="K479" s="3"/>
      <c r="M479" s="3" t="str">
        <f t="shared" si="82"/>
        <v/>
      </c>
      <c r="N479" s="3"/>
      <c r="P479" s="3" t="str">
        <f t="shared" si="83"/>
        <v/>
      </c>
      <c r="Q479" s="3"/>
      <c r="S479" s="3" t="str">
        <f t="shared" si="84"/>
        <v/>
      </c>
      <c r="T479" s="3"/>
      <c r="V479" s="3" t="str">
        <f t="shared" si="85"/>
        <v/>
      </c>
      <c r="W479" s="3"/>
      <c r="Y479" s="3" t="str">
        <f t="shared" si="86"/>
        <v/>
      </c>
      <c r="Z479" s="3"/>
      <c r="AB479" s="3" t="str">
        <f t="shared" si="87"/>
        <v/>
      </c>
      <c r="AC479" s="3"/>
      <c r="AE479" s="3">
        <f t="shared" si="88"/>
        <v>473</v>
      </c>
      <c r="AF479" s="3" t="str">
        <v>Staff: Shigeru Kimiya (Storyboard  (ep 6))</v>
      </c>
      <c r="AH479" s="3">
        <f t="shared" si="79"/>
        <v>473</v>
      </c>
      <c r="AI479" s="3" t="str">
        <v>Staff Role: ADR Director (Latin American Spanish)</v>
      </c>
    </row>
    <row r="480" spans="1:35" x14ac:dyDescent="0.3">
      <c r="A480" t="s">
        <v>322</v>
      </c>
      <c r="B480" s="5">
        <v>70</v>
      </c>
      <c r="C480" s="9">
        <v>2</v>
      </c>
      <c r="D480" s="6">
        <v>2.8109627547434998E-4</v>
      </c>
      <c r="E480" s="7">
        <v>1.96767392832044E-2</v>
      </c>
      <c r="G480" s="3" t="str">
        <f t="shared" si="80"/>
        <v/>
      </c>
      <c r="H480" s="3"/>
      <c r="J480" s="3" t="str">
        <f t="shared" si="81"/>
        <v/>
      </c>
      <c r="K480" s="3"/>
      <c r="M480" s="3" t="str">
        <f t="shared" si="82"/>
        <v/>
      </c>
      <c r="N480" s="3"/>
      <c r="P480" s="3" t="str">
        <f t="shared" si="83"/>
        <v/>
      </c>
      <c r="Q480" s="3"/>
      <c r="S480" s="3" t="str">
        <f t="shared" si="84"/>
        <v/>
      </c>
      <c r="T480" s="3"/>
      <c r="V480" s="3" t="str">
        <f t="shared" si="85"/>
        <v/>
      </c>
      <c r="W480" s="3"/>
      <c r="Y480" s="3" t="str">
        <f t="shared" si="86"/>
        <v/>
      </c>
      <c r="Z480" s="3"/>
      <c r="AB480" s="3" t="str">
        <f t="shared" si="87"/>
        <v/>
      </c>
      <c r="AC480" s="3"/>
      <c r="AE480" s="3">
        <f t="shared" si="88"/>
        <v>474</v>
      </c>
      <c r="AF480" s="3" t="str">
        <v>Staff: Shigeru Kimiya (Episode Director  (ep 6))</v>
      </c>
      <c r="AH480" s="3">
        <f t="shared" si="79"/>
        <v>474</v>
      </c>
      <c r="AI480" s="3" t="str">
        <v>Staff Role: Assistant ADR Director (English; eps 6-11)</v>
      </c>
    </row>
    <row r="481" spans="1:35" x14ac:dyDescent="0.3">
      <c r="A481" t="s">
        <v>378</v>
      </c>
      <c r="B481" s="5">
        <v>70</v>
      </c>
      <c r="C481" s="9">
        <v>2</v>
      </c>
      <c r="D481" s="6">
        <v>2.8109627547434998E-4</v>
      </c>
      <c r="E481" s="7">
        <v>1.96767392832044E-2</v>
      </c>
      <c r="G481" s="3" t="str">
        <f t="shared" si="80"/>
        <v/>
      </c>
      <c r="H481" s="3"/>
      <c r="J481" s="3" t="str">
        <f t="shared" si="81"/>
        <v/>
      </c>
      <c r="K481" s="3"/>
      <c r="M481" s="3" t="str">
        <f t="shared" si="82"/>
        <v/>
      </c>
      <c r="N481" s="3"/>
      <c r="P481" s="3" t="str">
        <f t="shared" si="83"/>
        <v/>
      </c>
      <c r="Q481" s="3"/>
      <c r="S481" s="3" t="str">
        <f t="shared" si="84"/>
        <v/>
      </c>
      <c r="T481" s="3"/>
      <c r="V481" s="3" t="str">
        <f t="shared" si="85"/>
        <v/>
      </c>
      <c r="W481" s="3"/>
      <c r="Y481" s="3" t="str">
        <f t="shared" si="86"/>
        <v/>
      </c>
      <c r="Z481" s="3"/>
      <c r="AB481" s="3" t="str">
        <f t="shared" si="87"/>
        <v/>
      </c>
      <c r="AC481" s="3"/>
      <c r="AE481" s="3">
        <f t="shared" si="88"/>
        <v>475</v>
      </c>
      <c r="AF481" s="3" t="str">
        <v>Staff: Hajime Takakuwa (Sound Director)</v>
      </c>
      <c r="AH481" s="3">
        <f t="shared" si="79"/>
        <v>475</v>
      </c>
      <c r="AI481" s="3" t="str">
        <v>Staff Role: Storyboard (eps 5, 9)</v>
      </c>
    </row>
    <row r="482" spans="1:35" x14ac:dyDescent="0.3">
      <c r="A482" t="s">
        <v>413</v>
      </c>
      <c r="B482" s="5">
        <v>70</v>
      </c>
      <c r="C482" s="9">
        <v>2</v>
      </c>
      <c r="D482" s="6">
        <v>2.8109627547434998E-4</v>
      </c>
      <c r="E482" s="7">
        <v>1.96767392832044E-2</v>
      </c>
      <c r="G482" s="3" t="str">
        <f t="shared" si="80"/>
        <v/>
      </c>
      <c r="H482" s="3"/>
      <c r="J482" s="3" t="str">
        <f t="shared" si="81"/>
        <v/>
      </c>
      <c r="K482" s="3"/>
      <c r="M482" s="3" t="str">
        <f t="shared" si="82"/>
        <v/>
      </c>
      <c r="N482" s="3"/>
      <c r="P482" s="3" t="str">
        <f t="shared" si="83"/>
        <v/>
      </c>
      <c r="Q482" s="3"/>
      <c r="S482" s="3" t="str">
        <f t="shared" si="84"/>
        <v/>
      </c>
      <c r="T482" s="3"/>
      <c r="V482" s="3" t="str">
        <f t="shared" si="85"/>
        <v/>
      </c>
      <c r="W482" s="3"/>
      <c r="Y482" s="3" t="str">
        <f t="shared" si="86"/>
        <v/>
      </c>
      <c r="Z482" s="3"/>
      <c r="AB482" s="3" t="str">
        <f t="shared" si="87"/>
        <v/>
      </c>
      <c r="AC482" s="3"/>
      <c r="AE482" s="3">
        <f t="shared" si="88"/>
        <v>476</v>
      </c>
      <c r="AF482" s="3" t="str">
        <v>Staff: Hiroki Harada (Key Animation  (OP))</v>
      </c>
      <c r="AH482" s="3">
        <f t="shared" si="79"/>
        <v>476</v>
      </c>
      <c r="AI482" s="3" t="str">
        <v>Staff Role: ADR Script (German)</v>
      </c>
    </row>
    <row r="483" spans="1:35" x14ac:dyDescent="0.3">
      <c r="A483" t="s">
        <v>497</v>
      </c>
      <c r="B483" s="5">
        <v>70</v>
      </c>
      <c r="C483" s="9">
        <v>2</v>
      </c>
      <c r="D483" s="6">
        <v>2.8109627547434998E-4</v>
      </c>
      <c r="E483" s="7">
        <v>1.96767392832044E-2</v>
      </c>
      <c r="G483" s="3" t="str">
        <f t="shared" si="80"/>
        <v/>
      </c>
      <c r="H483" s="3"/>
      <c r="J483" s="3" t="str">
        <f t="shared" si="81"/>
        <v/>
      </c>
      <c r="K483" s="3"/>
      <c r="M483" s="3" t="str">
        <f t="shared" si="82"/>
        <v/>
      </c>
      <c r="N483" s="3"/>
      <c r="P483" s="3" t="str">
        <f t="shared" si="83"/>
        <v/>
      </c>
      <c r="Q483" s="3"/>
      <c r="S483" s="3" t="str">
        <f t="shared" si="84"/>
        <v/>
      </c>
      <c r="T483" s="3"/>
      <c r="V483" s="3" t="str">
        <f t="shared" si="85"/>
        <v/>
      </c>
      <c r="W483" s="3"/>
      <c r="Y483" s="3" t="str">
        <f t="shared" si="86"/>
        <v/>
      </c>
      <c r="Z483" s="3"/>
      <c r="AB483" s="3" t="str">
        <f t="shared" si="87"/>
        <v/>
      </c>
      <c r="AC483" s="3"/>
      <c r="AE483" s="3">
        <f t="shared" si="88"/>
        <v>477</v>
      </c>
      <c r="AF483" s="3" t="str">
        <v>Staff: Tetsuya Wakano (Key Animation (ep 8))</v>
      </c>
      <c r="AH483" s="3">
        <f t="shared" si="79"/>
        <v>477</v>
      </c>
      <c r="AI483" s="3" t="str">
        <v>Staff Role: Storyboard (eps 2, 5)</v>
      </c>
    </row>
    <row r="484" spans="1:35" x14ac:dyDescent="0.3">
      <c r="A484" t="s">
        <v>526</v>
      </c>
      <c r="B484" s="5">
        <v>70</v>
      </c>
      <c r="C484" s="9">
        <v>2</v>
      </c>
      <c r="D484" s="6">
        <v>2.8109627547434998E-4</v>
      </c>
      <c r="E484" s="7">
        <v>1.96767392832044E-2</v>
      </c>
      <c r="G484" s="3" t="str">
        <f t="shared" si="80"/>
        <v/>
      </c>
      <c r="H484" s="3"/>
      <c r="J484" s="3" t="str">
        <f t="shared" si="81"/>
        <v/>
      </c>
      <c r="K484" s="3"/>
      <c r="M484" s="3" t="str">
        <f t="shared" si="82"/>
        <v/>
      </c>
      <c r="N484" s="3"/>
      <c r="P484" s="3" t="str">
        <f t="shared" si="83"/>
        <v/>
      </c>
      <c r="Q484" s="3"/>
      <c r="S484" s="3" t="str">
        <f t="shared" si="84"/>
        <v/>
      </c>
      <c r="T484" s="3"/>
      <c r="V484" s="3" t="str">
        <f t="shared" si="85"/>
        <v/>
      </c>
      <c r="W484" s="3"/>
      <c r="Y484" s="3" t="str">
        <f t="shared" si="86"/>
        <v/>
      </c>
      <c r="Z484" s="3"/>
      <c r="AB484" s="3" t="str">
        <f t="shared" si="87"/>
        <v/>
      </c>
      <c r="AC484" s="3"/>
      <c r="AE484" s="3">
        <f t="shared" si="88"/>
        <v>478</v>
      </c>
      <c r="AF484" s="3" t="str">
        <v>Staff: Tomoko Fukunaga (Key Animation (ep 3))</v>
      </c>
      <c r="AH484" s="3">
        <f t="shared" si="79"/>
        <v>478</v>
      </c>
      <c r="AI484" s="3" t="str">
        <v>Staff Role: Assistant Producer</v>
      </c>
    </row>
    <row r="485" spans="1:35" x14ac:dyDescent="0.3">
      <c r="A485" t="s">
        <v>579</v>
      </c>
      <c r="B485" s="5">
        <v>70</v>
      </c>
      <c r="C485" s="9">
        <v>2</v>
      </c>
      <c r="D485" s="6">
        <v>2.8109627547434998E-4</v>
      </c>
      <c r="E485" s="7">
        <v>1.96767392832044E-2</v>
      </c>
      <c r="G485" s="3" t="str">
        <f t="shared" si="80"/>
        <v/>
      </c>
      <c r="H485" s="3"/>
      <c r="J485" s="3" t="str">
        <f t="shared" si="81"/>
        <v/>
      </c>
      <c r="K485" s="3"/>
      <c r="M485" s="3" t="str">
        <f t="shared" si="82"/>
        <v/>
      </c>
      <c r="N485" s="3"/>
      <c r="P485" s="3" t="str">
        <f t="shared" si="83"/>
        <v/>
      </c>
      <c r="Q485" s="3"/>
      <c r="S485" s="3" t="str">
        <f t="shared" si="84"/>
        <v/>
      </c>
      <c r="T485" s="3"/>
      <c r="V485" s="3" t="str">
        <f t="shared" si="85"/>
        <v/>
      </c>
      <c r="W485" s="3"/>
      <c r="Y485" s="3" t="str">
        <f t="shared" si="86"/>
        <v/>
      </c>
      <c r="Z485" s="3"/>
      <c r="AB485" s="3" t="str">
        <f t="shared" si="87"/>
        <v/>
      </c>
      <c r="AC485" s="3"/>
      <c r="AE485" s="3">
        <f t="shared" si="88"/>
        <v>479</v>
      </c>
      <c r="AF485" s="3" t="str">
        <v>Staff: Manabu Akita (Key Animation (ep 10))</v>
      </c>
      <c r="AH485" s="3">
        <f t="shared" si="79"/>
        <v>479</v>
      </c>
      <c r="AI485" s="3" t="str">
        <v>Staff Role: Storyboard (eps 8, 9)</v>
      </c>
    </row>
    <row r="486" spans="1:35" x14ac:dyDescent="0.3">
      <c r="A486" t="s">
        <v>595</v>
      </c>
      <c r="B486" s="5">
        <v>70</v>
      </c>
      <c r="C486" s="9">
        <v>2</v>
      </c>
      <c r="D486" s="6">
        <v>2.8109627547434998E-4</v>
      </c>
      <c r="E486" s="7">
        <v>1.96767392832044E-2</v>
      </c>
      <c r="G486" s="3" t="str">
        <f t="shared" si="80"/>
        <v/>
      </c>
      <c r="H486" s="3"/>
      <c r="J486" s="3" t="str">
        <f t="shared" si="81"/>
        <v/>
      </c>
      <c r="K486" s="3"/>
      <c r="M486" s="3" t="str">
        <f t="shared" si="82"/>
        <v/>
      </c>
      <c r="N486" s="3"/>
      <c r="P486" s="3" t="str">
        <f t="shared" si="83"/>
        <v/>
      </c>
      <c r="Q486" s="3"/>
      <c r="S486" s="3" t="str">
        <f t="shared" si="84"/>
        <v/>
      </c>
      <c r="T486" s="3"/>
      <c r="V486" s="3" t="str">
        <f t="shared" si="85"/>
        <v/>
      </c>
      <c r="W486" s="3"/>
      <c r="Y486" s="3" t="str">
        <f t="shared" si="86"/>
        <v/>
      </c>
      <c r="Z486" s="3"/>
      <c r="AB486" s="3" t="str">
        <f t="shared" si="87"/>
        <v/>
      </c>
      <c r="AC486" s="3"/>
      <c r="AE486" s="3">
        <f t="shared" si="88"/>
        <v>480</v>
      </c>
      <c r="AF486" s="3" t="str">
        <v>Staff:  Katsuwo (Original Creator)</v>
      </c>
      <c r="AH486" s="3">
        <f t="shared" si="79"/>
        <v>480</v>
      </c>
      <c r="AI486" s="3" t="str">
        <v>Staff Role: Theme Song Performance (OP, ED2)</v>
      </c>
    </row>
    <row r="487" spans="1:35" x14ac:dyDescent="0.3">
      <c r="A487" t="s">
        <v>617</v>
      </c>
      <c r="B487" s="5">
        <v>70</v>
      </c>
      <c r="C487" s="9">
        <v>2</v>
      </c>
      <c r="D487" s="6">
        <v>2.8109627547434998E-4</v>
      </c>
      <c r="E487" s="7">
        <v>1.96767392832044E-2</v>
      </c>
      <c r="G487" s="3" t="str">
        <f t="shared" si="80"/>
        <v/>
      </c>
      <c r="H487" s="3"/>
      <c r="J487" s="3" t="str">
        <f t="shared" si="81"/>
        <v/>
      </c>
      <c r="K487" s="3"/>
      <c r="M487" s="3" t="str">
        <f t="shared" si="82"/>
        <v/>
      </c>
      <c r="N487" s="3"/>
      <c r="P487" s="3" t="str">
        <f t="shared" si="83"/>
        <v/>
      </c>
      <c r="Q487" s="3"/>
      <c r="S487" s="3" t="str">
        <f t="shared" si="84"/>
        <v/>
      </c>
      <c r="T487" s="3"/>
      <c r="V487" s="3" t="str">
        <f t="shared" si="85"/>
        <v/>
      </c>
      <c r="W487" s="3"/>
      <c r="Y487" s="3" t="str">
        <f t="shared" si="86"/>
        <v/>
      </c>
      <c r="Z487" s="3"/>
      <c r="AB487" s="3" t="str">
        <f t="shared" si="87"/>
        <v/>
      </c>
      <c r="AC487" s="3"/>
      <c r="AE487" s="3">
        <f t="shared" si="88"/>
        <v>481</v>
      </c>
      <c r="AF487" s="3" t="str">
        <v>Staff: Tomoyuki Kawamura (Director)</v>
      </c>
      <c r="AH487" s="3">
        <f t="shared" si="79"/>
        <v>481</v>
      </c>
      <c r="AI487" s="3" t="str">
        <v>Staff Role: Theme Song Arrangement (OP, ED1)</v>
      </c>
    </row>
    <row r="488" spans="1:35" x14ac:dyDescent="0.3">
      <c r="A488" t="s">
        <v>622</v>
      </c>
      <c r="B488" s="5">
        <v>70</v>
      </c>
      <c r="C488" s="9">
        <v>2</v>
      </c>
      <c r="D488" s="6">
        <v>2.8109627547434998E-4</v>
      </c>
      <c r="E488" s="7">
        <v>1.96767392832044E-2</v>
      </c>
      <c r="G488" s="3" t="str">
        <f t="shared" si="80"/>
        <v/>
      </c>
      <c r="H488" s="3"/>
      <c r="J488" s="3" t="str">
        <f t="shared" si="81"/>
        <v/>
      </c>
      <c r="K488" s="3"/>
      <c r="M488" s="3" t="str">
        <f t="shared" si="82"/>
        <v/>
      </c>
      <c r="N488" s="3"/>
      <c r="P488" s="3" t="str">
        <f t="shared" si="83"/>
        <v/>
      </c>
      <c r="Q488" s="3"/>
      <c r="S488" s="3" t="str">
        <f t="shared" si="84"/>
        <v/>
      </c>
      <c r="T488" s="3"/>
      <c r="V488" s="3" t="str">
        <f t="shared" si="85"/>
        <v/>
      </c>
      <c r="W488" s="3"/>
      <c r="Y488" s="3" t="str">
        <f t="shared" si="86"/>
        <v/>
      </c>
      <c r="Z488" s="3"/>
      <c r="AB488" s="3" t="str">
        <f t="shared" si="87"/>
        <v/>
      </c>
      <c r="AC488" s="3"/>
      <c r="AE488" s="3">
        <f t="shared" si="88"/>
        <v>482</v>
      </c>
      <c r="AF488" s="3" t="str">
        <v>Staff: Takumi Yokota (Character Design)</v>
      </c>
      <c r="AH488" s="3">
        <f t="shared" si="79"/>
        <v>482</v>
      </c>
      <c r="AI488" s="3" t="str">
        <v>Staff Role: Theme Song Composition (OP, ED1)</v>
      </c>
    </row>
    <row r="489" spans="1:35" x14ac:dyDescent="0.3">
      <c r="A489" t="s">
        <v>626</v>
      </c>
      <c r="B489" s="5">
        <v>70</v>
      </c>
      <c r="C489" s="9">
        <v>2</v>
      </c>
      <c r="D489" s="6">
        <v>2.8109627547434998E-4</v>
      </c>
      <c r="E489" s="7">
        <v>1.96767392832044E-2</v>
      </c>
      <c r="G489" s="3" t="str">
        <f t="shared" si="80"/>
        <v/>
      </c>
      <c r="H489" s="3"/>
      <c r="J489" s="3" t="str">
        <f t="shared" si="81"/>
        <v/>
      </c>
      <c r="K489" s="3"/>
      <c r="M489" s="3" t="str">
        <f t="shared" si="82"/>
        <v/>
      </c>
      <c r="N489" s="3"/>
      <c r="P489" s="3" t="str">
        <f t="shared" si="83"/>
        <v/>
      </c>
      <c r="Q489" s="3"/>
      <c r="S489" s="3" t="str">
        <f t="shared" si="84"/>
        <v/>
      </c>
      <c r="T489" s="3"/>
      <c r="V489" s="3" t="str">
        <f t="shared" si="85"/>
        <v/>
      </c>
      <c r="W489" s="3"/>
      <c r="Y489" s="3" t="str">
        <f t="shared" si="86"/>
        <v/>
      </c>
      <c r="Z489" s="3"/>
      <c r="AB489" s="3" t="str">
        <f t="shared" si="87"/>
        <v/>
      </c>
      <c r="AC489" s="3"/>
      <c r="AE489" s="3">
        <f t="shared" si="88"/>
        <v>483</v>
      </c>
      <c r="AF489" s="3" t="str">
        <v>Staff: Shougo Yasukawa (Series Composition)</v>
      </c>
      <c r="AH489" s="3">
        <f t="shared" si="79"/>
        <v>483</v>
      </c>
      <c r="AI489" s="3" t="str">
        <v>Staff Role: Key Animation  (ep 9)</v>
      </c>
    </row>
    <row r="490" spans="1:35" x14ac:dyDescent="0.3">
      <c r="A490" t="s">
        <v>627</v>
      </c>
      <c r="B490" s="5">
        <v>70</v>
      </c>
      <c r="C490" s="9">
        <v>2</v>
      </c>
      <c r="D490" s="6">
        <v>2.8109627547434998E-4</v>
      </c>
      <c r="E490" s="7">
        <v>1.96767392832044E-2</v>
      </c>
      <c r="G490" s="3" t="str">
        <f t="shared" si="80"/>
        <v/>
      </c>
      <c r="H490" s="3"/>
      <c r="J490" s="3" t="str">
        <f t="shared" si="81"/>
        <v/>
      </c>
      <c r="K490" s="3"/>
      <c r="M490" s="3" t="str">
        <f t="shared" si="82"/>
        <v/>
      </c>
      <c r="N490" s="3"/>
      <c r="P490" s="3" t="str">
        <f t="shared" si="83"/>
        <v/>
      </c>
      <c r="Q490" s="3"/>
      <c r="S490" s="3" t="str">
        <f t="shared" si="84"/>
        <v/>
      </c>
      <c r="T490" s="3"/>
      <c r="V490" s="3" t="str">
        <f t="shared" si="85"/>
        <v/>
      </c>
      <c r="W490" s="3"/>
      <c r="Y490" s="3" t="str">
        <f t="shared" si="86"/>
        <v/>
      </c>
      <c r="Z490" s="3"/>
      <c r="AB490" s="3" t="str">
        <f t="shared" si="87"/>
        <v/>
      </c>
      <c r="AC490" s="3"/>
      <c r="AE490" s="3">
        <f t="shared" si="88"/>
        <v>484</v>
      </c>
      <c r="AF490" s="3" t="str">
        <v>Staff: Masato Jinbou (Episode Director (ep 10))</v>
      </c>
      <c r="AH490" s="3">
        <f t="shared" si="79"/>
        <v>484</v>
      </c>
      <c r="AI490" s="3" t="str">
        <v>Staff Role: Animation Director  (ep 9)</v>
      </c>
    </row>
    <row r="491" spans="1:35" x14ac:dyDescent="0.3">
      <c r="A491" t="s">
        <v>651</v>
      </c>
      <c r="B491" s="5">
        <v>70</v>
      </c>
      <c r="C491" s="9">
        <v>2</v>
      </c>
      <c r="D491" s="6">
        <v>2.8109627547434998E-4</v>
      </c>
      <c r="E491" s="7">
        <v>1.96767392832044E-2</v>
      </c>
      <c r="G491" s="3" t="str">
        <f t="shared" si="80"/>
        <v/>
      </c>
      <c r="H491" s="3"/>
      <c r="J491" s="3" t="str">
        <f t="shared" si="81"/>
        <v/>
      </c>
      <c r="K491" s="3"/>
      <c r="M491" s="3" t="str">
        <f t="shared" si="82"/>
        <v/>
      </c>
      <c r="N491" s="3"/>
      <c r="P491" s="3" t="str">
        <f t="shared" si="83"/>
        <v/>
      </c>
      <c r="Q491" s="3"/>
      <c r="S491" s="3" t="str">
        <f t="shared" si="84"/>
        <v/>
      </c>
      <c r="T491" s="3"/>
      <c r="V491" s="3" t="str">
        <f t="shared" si="85"/>
        <v/>
      </c>
      <c r="W491" s="3"/>
      <c r="Y491" s="3" t="str">
        <f t="shared" si="86"/>
        <v/>
      </c>
      <c r="Z491" s="3"/>
      <c r="AB491" s="3" t="str">
        <f t="shared" si="87"/>
        <v/>
      </c>
      <c r="AC491" s="3"/>
      <c r="AE491" s="3">
        <f t="shared" si="88"/>
        <v>485</v>
      </c>
      <c r="AF491" s="3" t="str">
        <v>Staff: Tomoyuki Kawamura (Episode Director (eps 1, 12))</v>
      </c>
      <c r="AH491" s="3">
        <f t="shared" si="79"/>
        <v>485</v>
      </c>
      <c r="AI491" s="3" t="str">
        <v>Staff Role: Storyboard (eps 7, 11)</v>
      </c>
    </row>
    <row r="492" spans="1:35" x14ac:dyDescent="0.3">
      <c r="A492" t="s">
        <v>684</v>
      </c>
      <c r="B492" s="5">
        <v>70</v>
      </c>
      <c r="C492" s="9">
        <v>2</v>
      </c>
      <c r="D492" s="6">
        <v>2.8109627547434998E-4</v>
      </c>
      <c r="E492" s="7">
        <v>1.96767392832044E-2</v>
      </c>
      <c r="G492" s="3" t="str">
        <f t="shared" si="80"/>
        <v/>
      </c>
      <c r="H492" s="3"/>
      <c r="J492" s="3" t="str">
        <f t="shared" si="81"/>
        <v/>
      </c>
      <c r="K492" s="3"/>
      <c r="M492" s="3" t="str">
        <f t="shared" si="82"/>
        <v/>
      </c>
      <c r="N492" s="3"/>
      <c r="P492" s="3" t="str">
        <f t="shared" si="83"/>
        <v/>
      </c>
      <c r="Q492" s="3"/>
      <c r="S492" s="3" t="str">
        <f t="shared" si="84"/>
        <v/>
      </c>
      <c r="T492" s="3"/>
      <c r="V492" s="3" t="str">
        <f t="shared" si="85"/>
        <v/>
      </c>
      <c r="W492" s="3"/>
      <c r="Y492" s="3" t="str">
        <f t="shared" si="86"/>
        <v/>
      </c>
      <c r="Z492" s="3"/>
      <c r="AB492" s="3" t="str">
        <f t="shared" si="87"/>
        <v/>
      </c>
      <c r="AC492" s="3"/>
      <c r="AE492" s="3">
        <f t="shared" si="88"/>
        <v>486</v>
      </c>
      <c r="AF492" s="3" t="str">
        <v>Staff: Mizuki Takahashi (Key Animation (OP))</v>
      </c>
      <c r="AH492" s="3">
        <f t="shared" si="79"/>
        <v>486</v>
      </c>
      <c r="AI492" s="3" t="str">
        <v>Staff Role: Key Animation  (ep: 6)</v>
      </c>
    </row>
    <row r="493" spans="1:35" x14ac:dyDescent="0.3">
      <c r="A493" t="s">
        <v>742</v>
      </c>
      <c r="B493" s="5">
        <v>70</v>
      </c>
      <c r="C493" s="9">
        <v>2</v>
      </c>
      <c r="D493" s="6">
        <v>2.8109627547434998E-4</v>
      </c>
      <c r="E493" s="7">
        <v>1.96767392832044E-2</v>
      </c>
      <c r="G493" s="3" t="str">
        <f t="shared" si="80"/>
        <v/>
      </c>
      <c r="H493" s="3"/>
      <c r="J493" s="3" t="str">
        <f t="shared" si="81"/>
        <v/>
      </c>
      <c r="K493" s="3"/>
      <c r="M493" s="3" t="str">
        <f t="shared" si="82"/>
        <v/>
      </c>
      <c r="N493" s="3"/>
      <c r="P493" s="3" t="str">
        <f t="shared" si="83"/>
        <v/>
      </c>
      <c r="Q493" s="3"/>
      <c r="S493" s="3" t="str">
        <f t="shared" si="84"/>
        <v/>
      </c>
      <c r="T493" s="3"/>
      <c r="V493" s="3" t="str">
        <f t="shared" si="85"/>
        <v/>
      </c>
      <c r="W493" s="3"/>
      <c r="Y493" s="3" t="str">
        <f t="shared" si="86"/>
        <v/>
      </c>
      <c r="Z493" s="3"/>
      <c r="AB493" s="3" t="str">
        <f t="shared" si="87"/>
        <v/>
      </c>
      <c r="AC493" s="3"/>
      <c r="AE493" s="3">
        <f t="shared" si="88"/>
        <v>487</v>
      </c>
      <c r="AF493" s="3" t="str">
        <v>Staff: Takumi Yokota (Chief Animation Director (1, 3, 5-6, 8, 10, 12))</v>
      </c>
      <c r="AH493" s="3">
        <f t="shared" si="79"/>
        <v>487</v>
      </c>
      <c r="AI493" s="3" t="str">
        <v>Staff Role: Animation Director (OP, ED, ep 13)</v>
      </c>
    </row>
    <row r="494" spans="1:35" x14ac:dyDescent="0.3">
      <c r="A494" t="s">
        <v>773</v>
      </c>
      <c r="B494" s="5">
        <v>70</v>
      </c>
      <c r="C494" s="9">
        <v>2</v>
      </c>
      <c r="D494" s="6">
        <v>2.8109627547434998E-4</v>
      </c>
      <c r="E494" s="7">
        <v>1.96767392832044E-2</v>
      </c>
      <c r="G494" s="3" t="str">
        <f t="shared" si="80"/>
        <v/>
      </c>
      <c r="H494" s="3"/>
      <c r="J494" s="3" t="str">
        <f t="shared" si="81"/>
        <v/>
      </c>
      <c r="K494" s="3"/>
      <c r="M494" s="3" t="str">
        <f t="shared" si="82"/>
        <v/>
      </c>
      <c r="N494" s="3"/>
      <c r="P494" s="3" t="str">
        <f t="shared" si="83"/>
        <v/>
      </c>
      <c r="Q494" s="3"/>
      <c r="S494" s="3" t="str">
        <f t="shared" si="84"/>
        <v/>
      </c>
      <c r="T494" s="3"/>
      <c r="V494" s="3" t="str">
        <f t="shared" si="85"/>
        <v/>
      </c>
      <c r="W494" s="3"/>
      <c r="Y494" s="3" t="str">
        <f t="shared" si="86"/>
        <v/>
      </c>
      <c r="Z494" s="3"/>
      <c r="AB494" s="3" t="str">
        <f t="shared" si="87"/>
        <v/>
      </c>
      <c r="AC494" s="3"/>
      <c r="AE494" s="3">
        <f t="shared" si="88"/>
        <v>488</v>
      </c>
      <c r="AF494" s="3" t="str">
        <v>Staff: Ryousuke Yamamoto (Chief Animation Director (2, 4, 7, 9, 11))</v>
      </c>
      <c r="AH494" s="3">
        <f t="shared" si="79"/>
        <v>488</v>
      </c>
      <c r="AI494" s="3" t="str">
        <v>Staff Role: Episode Director (eps 1, 9, 13)</v>
      </c>
    </row>
    <row r="495" spans="1:35" x14ac:dyDescent="0.3">
      <c r="A495" t="s">
        <v>780</v>
      </c>
      <c r="B495" s="5">
        <v>70</v>
      </c>
      <c r="C495" s="9">
        <v>2</v>
      </c>
      <c r="D495" s="6">
        <v>2.8109627547434998E-4</v>
      </c>
      <c r="E495" s="7">
        <v>1.96767392832044E-2</v>
      </c>
      <c r="G495" s="3" t="str">
        <f t="shared" si="80"/>
        <v/>
      </c>
      <c r="H495" s="3"/>
      <c r="J495" s="3" t="str">
        <f t="shared" si="81"/>
        <v/>
      </c>
      <c r="K495" s="3"/>
      <c r="M495" s="3" t="str">
        <f t="shared" si="82"/>
        <v/>
      </c>
      <c r="N495" s="3"/>
      <c r="P495" s="3" t="str">
        <f t="shared" si="83"/>
        <v/>
      </c>
      <c r="Q495" s="3"/>
      <c r="S495" s="3" t="str">
        <f t="shared" si="84"/>
        <v/>
      </c>
      <c r="T495" s="3"/>
      <c r="V495" s="3" t="str">
        <f t="shared" si="85"/>
        <v/>
      </c>
      <c r="W495" s="3"/>
      <c r="Y495" s="3" t="str">
        <f t="shared" si="86"/>
        <v/>
      </c>
      <c r="Z495" s="3"/>
      <c r="AB495" s="3" t="str">
        <f t="shared" si="87"/>
        <v/>
      </c>
      <c r="AC495" s="3"/>
      <c r="AE495" s="3">
        <f t="shared" si="88"/>
        <v>489</v>
      </c>
      <c r="AF495" s="3" t="str">
        <v>Staff: ONE  (Original Story)</v>
      </c>
      <c r="AH495" s="3">
        <f t="shared" si="79"/>
        <v>489</v>
      </c>
      <c r="AI495" s="3" t="str">
        <v>Staff Role: Storyboard (eps 1, 9, 13)</v>
      </c>
    </row>
    <row r="496" spans="1:35" x14ac:dyDescent="0.3">
      <c r="A496" t="s">
        <v>794</v>
      </c>
      <c r="B496" s="5">
        <v>70</v>
      </c>
      <c r="C496" s="9">
        <v>2</v>
      </c>
      <c r="D496" s="6">
        <v>2.8109627547434998E-4</v>
      </c>
      <c r="E496" s="7">
        <v>1.96767392832044E-2</v>
      </c>
      <c r="G496" s="3" t="str">
        <f t="shared" si="80"/>
        <v/>
      </c>
      <c r="H496" s="3"/>
      <c r="J496" s="3" t="str">
        <f t="shared" si="81"/>
        <v/>
      </c>
      <c r="K496" s="3"/>
      <c r="M496" s="3" t="str">
        <f t="shared" si="82"/>
        <v/>
      </c>
      <c r="N496" s="3"/>
      <c r="P496" s="3" t="str">
        <f t="shared" si="83"/>
        <v/>
      </c>
      <c r="Q496" s="3"/>
      <c r="S496" s="3" t="str">
        <f t="shared" si="84"/>
        <v/>
      </c>
      <c r="T496" s="3"/>
      <c r="V496" s="3" t="str">
        <f t="shared" si="85"/>
        <v/>
      </c>
      <c r="W496" s="3"/>
      <c r="Y496" s="3" t="str">
        <f t="shared" si="86"/>
        <v/>
      </c>
      <c r="Z496" s="3"/>
      <c r="AB496" s="3" t="str">
        <f t="shared" si="87"/>
        <v/>
      </c>
      <c r="AC496" s="3"/>
      <c r="AE496" s="3">
        <f t="shared" si="88"/>
        <v>490</v>
      </c>
      <c r="AF496" s="3" t="str">
        <v>Staff: Yuusuke Murata (Original Character Design)</v>
      </c>
      <c r="AH496" s="3">
        <f t="shared" si="79"/>
        <v>490</v>
      </c>
      <c r="AI496" s="3" t="str">
        <v>Staff Role: Storyboard (eps 2, 8)</v>
      </c>
    </row>
    <row r="497" spans="1:35" x14ac:dyDescent="0.3">
      <c r="A497" t="s">
        <v>797</v>
      </c>
      <c r="B497" s="5">
        <v>70</v>
      </c>
      <c r="C497" s="9">
        <v>2</v>
      </c>
      <c r="D497" s="6">
        <v>2.8109627547434998E-4</v>
      </c>
      <c r="E497" s="7">
        <v>1.96767392832044E-2</v>
      </c>
      <c r="G497" s="3" t="str">
        <f t="shared" si="80"/>
        <v/>
      </c>
      <c r="H497" s="3"/>
      <c r="J497" s="3" t="str">
        <f t="shared" si="81"/>
        <v/>
      </c>
      <c r="K497" s="3"/>
      <c r="M497" s="3" t="str">
        <f t="shared" si="82"/>
        <v/>
      </c>
      <c r="N497" s="3"/>
      <c r="P497" s="3" t="str">
        <f t="shared" si="83"/>
        <v/>
      </c>
      <c r="Q497" s="3"/>
      <c r="S497" s="3" t="str">
        <f t="shared" si="84"/>
        <v/>
      </c>
      <c r="T497" s="3"/>
      <c r="V497" s="3" t="str">
        <f t="shared" si="85"/>
        <v/>
      </c>
      <c r="W497" s="3"/>
      <c r="Y497" s="3" t="str">
        <f t="shared" si="86"/>
        <v/>
      </c>
      <c r="Z497" s="3"/>
      <c r="AB497" s="3" t="str">
        <f t="shared" si="87"/>
        <v/>
      </c>
      <c r="AC497" s="3"/>
      <c r="AE497" s="3">
        <f t="shared" si="88"/>
        <v>491</v>
      </c>
      <c r="AF497" s="3" t="str">
        <v>Staff: Shingo Natsume (Director)</v>
      </c>
      <c r="AH497" s="3">
        <f t="shared" si="79"/>
        <v>491</v>
      </c>
      <c r="AI497" s="3" t="str">
        <v>Staff Role: Storyboard (eps 6, 12)</v>
      </c>
    </row>
    <row r="498" spans="1:35" x14ac:dyDescent="0.3">
      <c r="A498" t="s">
        <v>801</v>
      </c>
      <c r="B498" s="5">
        <v>70</v>
      </c>
      <c r="C498" s="9">
        <v>2</v>
      </c>
      <c r="D498" s="6">
        <v>2.8109627547434998E-4</v>
      </c>
      <c r="E498" s="7">
        <v>1.96767392832044E-2</v>
      </c>
      <c r="G498" s="3" t="str">
        <f t="shared" si="80"/>
        <v/>
      </c>
      <c r="H498" s="3"/>
      <c r="J498" s="3" t="str">
        <f t="shared" si="81"/>
        <v/>
      </c>
      <c r="K498" s="3"/>
      <c r="M498" s="3" t="str">
        <f t="shared" si="82"/>
        <v/>
      </c>
      <c r="N498" s="3"/>
      <c r="P498" s="3" t="str">
        <f t="shared" si="83"/>
        <v/>
      </c>
      <c r="Q498" s="3"/>
      <c r="S498" s="3" t="str">
        <f t="shared" si="84"/>
        <v/>
      </c>
      <c r="T498" s="3"/>
      <c r="V498" s="3" t="str">
        <f t="shared" si="85"/>
        <v/>
      </c>
      <c r="W498" s="3"/>
      <c r="Y498" s="3" t="str">
        <f t="shared" si="86"/>
        <v/>
      </c>
      <c r="Z498" s="3"/>
      <c r="AB498" s="3" t="str">
        <f t="shared" si="87"/>
        <v/>
      </c>
      <c r="AC498" s="3"/>
      <c r="AE498" s="3">
        <f t="shared" si="88"/>
        <v>492</v>
      </c>
      <c r="AF498" s="3" t="str">
        <v>Staff: Chikashi Kubota (Character Design)</v>
      </c>
      <c r="AH498" s="3">
        <f t="shared" si="79"/>
        <v>492</v>
      </c>
      <c r="AI498" s="3" t="str">
        <v>Staff Role: Animation Director (eps 5-7, 11)</v>
      </c>
    </row>
    <row r="499" spans="1:35" x14ac:dyDescent="0.3">
      <c r="A499" t="s">
        <v>822</v>
      </c>
      <c r="B499" s="5">
        <v>70</v>
      </c>
      <c r="C499" s="9">
        <v>2</v>
      </c>
      <c r="D499" s="6">
        <v>2.8109627547434998E-4</v>
      </c>
      <c r="E499" s="7">
        <v>1.96767392832044E-2</v>
      </c>
      <c r="G499" s="3" t="str">
        <f t="shared" si="80"/>
        <v/>
      </c>
      <c r="H499" s="3"/>
      <c r="J499" s="3" t="str">
        <f t="shared" si="81"/>
        <v/>
      </c>
      <c r="K499" s="3"/>
      <c r="M499" s="3" t="str">
        <f t="shared" si="82"/>
        <v/>
      </c>
      <c r="N499" s="3"/>
      <c r="P499" s="3" t="str">
        <f t="shared" si="83"/>
        <v/>
      </c>
      <c r="Q499" s="3"/>
      <c r="S499" s="3" t="str">
        <f t="shared" si="84"/>
        <v/>
      </c>
      <c r="T499" s="3"/>
      <c r="V499" s="3" t="str">
        <f t="shared" si="85"/>
        <v/>
      </c>
      <c r="W499" s="3"/>
      <c r="Y499" s="3" t="str">
        <f t="shared" si="86"/>
        <v/>
      </c>
      <c r="Z499" s="3"/>
      <c r="AB499" s="3" t="str">
        <f t="shared" si="87"/>
        <v/>
      </c>
      <c r="AC499" s="3"/>
      <c r="AE499" s="3">
        <f t="shared" si="88"/>
        <v>493</v>
      </c>
      <c r="AF499" s="3" t="str">
        <v>Staff: Tomohiro Suzuki (Series Composition)</v>
      </c>
      <c r="AH499" s="3">
        <f t="shared" si="79"/>
        <v>493</v>
      </c>
      <c r="AI499" s="3" t="str">
        <v>Staff Role: Theme Song Lyrics (ED2)</v>
      </c>
    </row>
    <row r="500" spans="1:35" x14ac:dyDescent="0.3">
      <c r="A500" t="s">
        <v>835</v>
      </c>
      <c r="B500" s="5">
        <v>70</v>
      </c>
      <c r="C500" s="9">
        <v>2</v>
      </c>
      <c r="D500" s="6">
        <v>2.8109627547434998E-4</v>
      </c>
      <c r="E500" s="7">
        <v>1.96767392832044E-2</v>
      </c>
      <c r="G500" s="3" t="str">
        <f t="shared" si="80"/>
        <v/>
      </c>
      <c r="H500" s="3"/>
      <c r="J500" s="3" t="str">
        <f t="shared" si="81"/>
        <v/>
      </c>
      <c r="K500" s="3"/>
      <c r="M500" s="3" t="str">
        <f t="shared" si="82"/>
        <v/>
      </c>
      <c r="N500" s="3"/>
      <c r="P500" s="3" t="str">
        <f t="shared" si="83"/>
        <v/>
      </c>
      <c r="Q500" s="3"/>
      <c r="S500" s="3" t="str">
        <f t="shared" si="84"/>
        <v/>
      </c>
      <c r="T500" s="3"/>
      <c r="V500" s="3" t="str">
        <f t="shared" si="85"/>
        <v/>
      </c>
      <c r="W500" s="3"/>
      <c r="Y500" s="3" t="str">
        <f t="shared" si="86"/>
        <v/>
      </c>
      <c r="Z500" s="3"/>
      <c r="AB500" s="3" t="str">
        <f t="shared" si="87"/>
        <v/>
      </c>
      <c r="AC500" s="3"/>
      <c r="AE500" s="3">
        <f t="shared" si="88"/>
        <v>494</v>
      </c>
      <c r="AF500" s="3" t="str">
        <v>Staff:  JAM Project (Theme Song Performance (OP))</v>
      </c>
      <c r="AH500" s="3">
        <f t="shared" si="79"/>
        <v>494</v>
      </c>
      <c r="AI500" s="3" t="str">
        <v>Staff Role: Theme Song Arrangement (ED2)</v>
      </c>
    </row>
    <row r="501" spans="1:35" x14ac:dyDescent="0.3">
      <c r="A501" t="s">
        <v>840</v>
      </c>
      <c r="B501" s="5">
        <v>70</v>
      </c>
      <c r="C501" s="9">
        <v>2</v>
      </c>
      <c r="D501" s="6">
        <v>2.8109627547434998E-4</v>
      </c>
      <c r="E501" s="7">
        <v>1.96767392832044E-2</v>
      </c>
      <c r="G501" s="3" t="str">
        <f t="shared" si="80"/>
        <v/>
      </c>
      <c r="H501" s="3"/>
      <c r="J501" s="3" t="str">
        <f t="shared" si="81"/>
        <v/>
      </c>
      <c r="K501" s="3"/>
      <c r="M501" s="3" t="str">
        <f t="shared" si="82"/>
        <v/>
      </c>
      <c r="N501" s="3"/>
      <c r="P501" s="3" t="str">
        <f t="shared" si="83"/>
        <v/>
      </c>
      <c r="Q501" s="3"/>
      <c r="S501" s="3" t="str">
        <f t="shared" si="84"/>
        <v/>
      </c>
      <c r="T501" s="3"/>
      <c r="V501" s="3" t="str">
        <f t="shared" si="85"/>
        <v/>
      </c>
      <c r="W501" s="3"/>
      <c r="Y501" s="3" t="str">
        <f t="shared" si="86"/>
        <v/>
      </c>
      <c r="Z501" s="3"/>
      <c r="AB501" s="3" t="str">
        <f t="shared" si="87"/>
        <v/>
      </c>
      <c r="AC501" s="3"/>
      <c r="AE501" s="3">
        <f t="shared" si="88"/>
        <v>495</v>
      </c>
      <c r="AF501" s="3" t="str">
        <v>Staff: Hiroko Moriguchi (Theme Song Performance (ED))</v>
      </c>
      <c r="AH501" s="3">
        <f t="shared" si="79"/>
        <v>495</v>
      </c>
      <c r="AI501" s="3" t="str">
        <v>Staff Role: Insert Song Composition (ep 9)</v>
      </c>
    </row>
    <row r="502" spans="1:35" x14ac:dyDescent="0.3">
      <c r="A502" t="s">
        <v>870</v>
      </c>
      <c r="B502" s="5">
        <v>70</v>
      </c>
      <c r="C502" s="9">
        <v>2</v>
      </c>
      <c r="D502" s="6">
        <v>2.8109627547434998E-4</v>
      </c>
      <c r="E502" s="7">
        <v>1.96767392832044E-2</v>
      </c>
      <c r="G502" s="3" t="str">
        <f t="shared" si="80"/>
        <v/>
      </c>
      <c r="H502" s="3"/>
      <c r="J502" s="3" t="str">
        <f t="shared" si="81"/>
        <v/>
      </c>
      <c r="K502" s="3"/>
      <c r="M502" s="3" t="str">
        <f t="shared" si="82"/>
        <v/>
      </c>
      <c r="N502" s="3"/>
      <c r="P502" s="3" t="str">
        <f t="shared" si="83"/>
        <v/>
      </c>
      <c r="Q502" s="3"/>
      <c r="S502" s="3" t="str">
        <f t="shared" si="84"/>
        <v/>
      </c>
      <c r="T502" s="3"/>
      <c r="V502" s="3" t="str">
        <f t="shared" si="85"/>
        <v/>
      </c>
      <c r="W502" s="3"/>
      <c r="Y502" s="3" t="str">
        <f t="shared" si="86"/>
        <v/>
      </c>
      <c r="Z502" s="3"/>
      <c r="AB502" s="3" t="str">
        <f t="shared" si="87"/>
        <v/>
      </c>
      <c r="AC502" s="3"/>
      <c r="AE502" s="3">
        <f t="shared" si="88"/>
        <v>496</v>
      </c>
      <c r="AF502" s="3" t="str">
        <v>Staff: Makoto Miyazaki (Music)</v>
      </c>
      <c r="AH502" s="3">
        <f t="shared" si="79"/>
        <v>496</v>
      </c>
      <c r="AI502" s="3" t="str">
        <v>Staff Role: Insert Song Performance (ep 9)</v>
      </c>
    </row>
    <row r="503" spans="1:35" x14ac:dyDescent="0.3">
      <c r="A503" t="s">
        <v>878</v>
      </c>
      <c r="B503" s="5">
        <v>70</v>
      </c>
      <c r="C503" s="9">
        <v>2</v>
      </c>
      <c r="D503" s="6">
        <v>2.8109627547434998E-4</v>
      </c>
      <c r="E503" s="7">
        <v>1.96767392832044E-2</v>
      </c>
      <c r="AF503" t="str">
        <v>Staff: Bahi JD (Key Animation (ep 9))</v>
      </c>
      <c r="AI503" t="str">
        <v>Staff Role: Insert Song Lyrics (ep 9)</v>
      </c>
    </row>
    <row r="504" spans="1:35" x14ac:dyDescent="0.3">
      <c r="A504" t="s">
        <v>879</v>
      </c>
      <c r="B504" s="5">
        <v>70</v>
      </c>
      <c r="C504" s="9">
        <v>2</v>
      </c>
      <c r="D504" s="6">
        <v>2.8109627547434998E-4</v>
      </c>
      <c r="E504" s="7">
        <v>1.96767392832044E-2</v>
      </c>
      <c r="AF504" t="str">
        <v>Staff: Isao Hayashi (Key Animation (ep 12))</v>
      </c>
      <c r="AI504" t="str">
        <v>Staff Role: Insert Song Arrangement (ep 9)</v>
      </c>
    </row>
    <row r="505" spans="1:35" x14ac:dyDescent="0.3">
      <c r="A505" t="s">
        <v>918</v>
      </c>
      <c r="B505" s="5">
        <v>70</v>
      </c>
      <c r="C505" s="9">
        <v>2</v>
      </c>
      <c r="D505" s="6">
        <v>2.8109627547434998E-4</v>
      </c>
      <c r="E505" s="7">
        <v>1.96767392832044E-2</v>
      </c>
      <c r="AF505" t="str">
        <v>Staff: Hiroki Harada (Key Animation (OP))</v>
      </c>
      <c r="AI505" t="str">
        <v>Staff Role: Background Art (eps 1-2)</v>
      </c>
    </row>
    <row r="506" spans="1:35" x14ac:dyDescent="0.3">
      <c r="A506" t="s">
        <v>923</v>
      </c>
      <c r="B506" s="5">
        <v>70</v>
      </c>
      <c r="C506" s="9">
        <v>2</v>
      </c>
      <c r="D506" s="6">
        <v>2.8109627547434998E-4</v>
      </c>
      <c r="E506" s="7">
        <v>1.96767392832044E-2</v>
      </c>
      <c r="AF506" t="str">
        <v>Staff: Yutaka Nakamura (Key Animation (ep 12))</v>
      </c>
      <c r="AI506" t="str">
        <v>Staff Role: Insert Song Arrangment ("Jishozukuri no Uta: We Are Jisho-tans"; ep 4)</v>
      </c>
    </row>
    <row r="507" spans="1:35" x14ac:dyDescent="0.3">
      <c r="A507" t="s">
        <v>927</v>
      </c>
      <c r="B507" s="5">
        <v>70</v>
      </c>
      <c r="C507" s="9">
        <v>2</v>
      </c>
      <c r="D507" s="6">
        <v>2.8109627547434998E-4</v>
      </c>
      <c r="E507" s="7">
        <v>1.96767392832044E-2</v>
      </c>
      <c r="AF507" t="str">
        <v>Staff: Mahiro Maeda (Key Animation (ep 12))</v>
      </c>
      <c r="AI507" t="str">
        <v>Staff Role: Insert Song Composition ("Jishozukuri no Uta: We Are Jisho-tans"; ep 4)</v>
      </c>
    </row>
    <row r="508" spans="1:35" x14ac:dyDescent="0.3">
      <c r="A508" t="s">
        <v>934</v>
      </c>
      <c r="B508" s="5">
        <v>70</v>
      </c>
      <c r="C508" s="9">
        <v>2</v>
      </c>
      <c r="D508" s="6">
        <v>2.8109627547434998E-4</v>
      </c>
      <c r="E508" s="7">
        <v>1.96767392832044E-2</v>
      </c>
      <c r="AF508" t="str">
        <v>Staff: Chikashi Kubota (Chief Animation Director (eps 2-11))</v>
      </c>
      <c r="AI508" t="str">
        <v>Staff Role: Insert Song Performance ("Shiokaze"; ep 4)</v>
      </c>
    </row>
    <row r="509" spans="1:35" x14ac:dyDescent="0.3">
      <c r="A509" t="s">
        <v>963</v>
      </c>
      <c r="B509" s="5">
        <v>70</v>
      </c>
      <c r="C509" s="9">
        <v>2</v>
      </c>
      <c r="D509" s="6">
        <v>2.8109627547434998E-4</v>
      </c>
      <c r="E509" s="7">
        <v>1.96767392832044E-2</v>
      </c>
      <c r="AF509" t="str">
        <v>Staff: Shinichirou Ushijima (Assistant Director)</v>
      </c>
      <c r="AI509" t="str">
        <v>Staff Role: Theme Song Performance (OP1, ED2)</v>
      </c>
    </row>
    <row r="510" spans="1:35" x14ac:dyDescent="0.3">
      <c r="A510" t="s">
        <v>982</v>
      </c>
      <c r="B510" s="5">
        <v>70</v>
      </c>
      <c r="C510" s="9">
        <v>2</v>
      </c>
      <c r="D510" s="6">
        <v>2.8109627547434998E-4</v>
      </c>
      <c r="E510" s="7">
        <v>1.96767392832044E-2</v>
      </c>
      <c r="AF510" t="str">
        <v>Staff: Shingo Natsume (Episode Director (OP, eps 1, 12))</v>
      </c>
      <c r="AI510" t="str">
        <v>Staff Role: Theme Song Performance (OP2, ED1)</v>
      </c>
    </row>
    <row r="511" spans="1:35" x14ac:dyDescent="0.3">
      <c r="A511" t="str">
        <f>HYPERLINK("https://anilist.co/staff/109787","Staff: Takao Yoshioka (Series Composition)")</f>
        <v>Staff: Takao Yoshioka (Series Composition)</v>
      </c>
      <c r="B511" s="5">
        <v>70</v>
      </c>
      <c r="C511" s="9">
        <v>2</v>
      </c>
      <c r="D511" s="6">
        <v>2.8109627547434998E-4</v>
      </c>
      <c r="E511" s="7">
        <v>1.96767392832044E-2</v>
      </c>
      <c r="AF511" t="str">
        <v>Staff: Shinichirou Ushijima (Episode Director (ED, eps 2, 6, 10))</v>
      </c>
      <c r="AI511" t="str">
        <v>Staff Role: Theme Song Arrangement (OP1)</v>
      </c>
    </row>
    <row r="512" spans="1:35" x14ac:dyDescent="0.3">
      <c r="A512" t="str">
        <f>HYPERLINK("https://anilist.co/staff/110481","Staff:  MONACA (Music)")</f>
        <v>Staff:  MONACA (Music)</v>
      </c>
      <c r="B512" s="5">
        <v>70</v>
      </c>
      <c r="C512" s="9">
        <v>2</v>
      </c>
      <c r="D512" s="6">
        <v>2.8109627547434998E-4</v>
      </c>
      <c r="E512" s="7">
        <v>1.96767392832044E-2</v>
      </c>
      <c r="AF512" t="str">
        <v>Staff: Nobuhiro Mutou (Episode Director (eps 4, 8))</v>
      </c>
      <c r="AI512" t="str">
        <v>Staff Role: Chief Animation Director (eps 1, 4, 5, 8, 9, 12-16, 18-22, 24)</v>
      </c>
    </row>
    <row r="513" spans="1:35" x14ac:dyDescent="0.3">
      <c r="A513" t="str">
        <f>HYPERLINK("https://anilist.co/staff/101013","Staff: Masakazu Ishikawa (Character Design)")</f>
        <v>Staff: Masakazu Ishikawa (Character Design)</v>
      </c>
      <c r="B513" s="5">
        <v>70</v>
      </c>
      <c r="C513" s="9">
        <v>2</v>
      </c>
      <c r="D513" s="6">
        <v>2.8109627547434998E-4</v>
      </c>
      <c r="E513" s="7">
        <v>1.96767392832044E-2</v>
      </c>
      <c r="AF513" t="str">
        <v>Staff: Shunichi Yoshizawa (Episode Director (eps 5, 9))</v>
      </c>
      <c r="AI513" t="str">
        <v>Staff Role: Action Director (ep 13)</v>
      </c>
    </row>
    <row r="514" spans="1:35" x14ac:dyDescent="0.3">
      <c r="A514" t="str">
        <f>HYPERLINK("https://anilist.co/staff/146509","Staff: Yuuji Oka (Editing)")</f>
        <v>Staff: Yuuji Oka (Editing)</v>
      </c>
      <c r="B514" s="5">
        <v>70</v>
      </c>
      <c r="C514" s="9">
        <v>2</v>
      </c>
      <c r="D514" s="6">
        <v>2.8109627547434998E-4</v>
      </c>
      <c r="E514" s="7">
        <v>1.96767392832044E-2</v>
      </c>
      <c r="AF514" t="str">
        <v>Staff: Shingo Natsume (Storyboard (OP, eps 1-3, 12))</v>
      </c>
      <c r="AI514" t="str">
        <v>Staff Role: Action Director (eps 1, 5, 10, 15, 20)</v>
      </c>
    </row>
    <row r="515" spans="1:35" x14ac:dyDescent="0.3">
      <c r="A515" t="str">
        <f>HYPERLINK("https://anilist.co/staff/118912","Staff: Satoki Iida (Sound Director)")</f>
        <v>Staff: Satoki Iida (Sound Director)</v>
      </c>
      <c r="B515" s="5">
        <v>70</v>
      </c>
      <c r="C515" s="9">
        <v>2</v>
      </c>
      <c r="D515" s="6">
        <v>2.8109627547434998E-4</v>
      </c>
      <c r="E515" s="7">
        <v>1.96767392832044E-2</v>
      </c>
      <c r="AF515" t="str">
        <v>Staff: Katsunori Shibata (Storyboard (ep 4))</v>
      </c>
      <c r="AI515" t="str">
        <v>Staff Role: Script (eps 1, 3, 9, 10, 15-17, 19, 21-24)</v>
      </c>
    </row>
    <row r="516" spans="1:35" x14ac:dyDescent="0.3">
      <c r="A516" t="str">
        <f>HYPERLINK("https://anilist.co/staff/102621","Staff: John Ledford (Executive Producer (English))")</f>
        <v>Staff: John Ledford (Executive Producer (English))</v>
      </c>
      <c r="B516" s="5">
        <v>70</v>
      </c>
      <c r="C516" s="9">
        <v>2</v>
      </c>
      <c r="D516" s="6">
        <v>2.8109627547434998E-4</v>
      </c>
      <c r="E516" s="7">
        <v>1.96767392832044E-2</v>
      </c>
      <c r="AF516" t="str">
        <v>Staff: Shinichirou Ushijima (Storyboard (ED, eps 4, 6) )</v>
      </c>
      <c r="AI516" t="str">
        <v>Staff Role: Action Director (eps 2, 3, 9, 12, 14)</v>
      </c>
    </row>
    <row r="517" spans="1:35" x14ac:dyDescent="0.3">
      <c r="A517" t="str">
        <f>HYPERLINK("https://anilist.co/staff/100961","Staff: Tomoki Kikuya (Music)")</f>
        <v>Staff: Tomoki Kikuya (Music)</v>
      </c>
      <c r="B517" s="5">
        <v>70</v>
      </c>
      <c r="C517" s="9">
        <v>2</v>
      </c>
      <c r="D517" s="6">
        <v>2.8109627547434998E-4</v>
      </c>
      <c r="E517" s="7">
        <v>1.96767392832044E-2</v>
      </c>
      <c r="AF517" t="str">
        <v>Staff: Crystal na Yousuke  (Original Creator)</v>
      </c>
      <c r="AI517" t="str">
        <v>Staff Role: Design Works</v>
      </c>
    </row>
    <row r="518" spans="1:35" x14ac:dyDescent="0.3">
      <c r="A518" t="str">
        <f>HYPERLINK("https://anilist.co/staff/109939","Staff: Hideki Shirane (Series Composition)")</f>
        <v>Staff: Hideki Shirane (Series Composition)</v>
      </c>
      <c r="B518" s="5">
        <v>70</v>
      </c>
      <c r="C518" s="9">
        <v>2</v>
      </c>
      <c r="D518" s="6">
        <v>2.8109627547434998E-4</v>
      </c>
      <c r="E518" s="7">
        <v>1.96767392832044E-2</v>
      </c>
      <c r="AF518" t="str">
        <v>Staff: Cellchrome  (Theme Song Performance (OP))</v>
      </c>
      <c r="AI518" t="str">
        <v>Staff Role: Action Animation Director (eps 1-24)</v>
      </c>
    </row>
    <row r="519" spans="1:35" x14ac:dyDescent="0.3">
      <c r="A519" t="str">
        <f>HYPERLINK("https://anilist.co/staff/97347","Staff: Jun Maeda (Music)")</f>
        <v>Staff: Jun Maeda (Music)</v>
      </c>
      <c r="B519" s="5">
        <v>70</v>
      </c>
      <c r="C519" s="9">
        <v>2</v>
      </c>
      <c r="D519" s="6">
        <v>2.8109627547434998E-4</v>
      </c>
      <c r="E519" s="7">
        <v>1.96767392832044E-2</v>
      </c>
      <c r="AF519" t="str">
        <v>Staff: Hisayoshi Hirasawa (Chief Director)</v>
      </c>
      <c r="AI519" t="str">
        <v>Staff Role: Chief Animation Director (eps 2, 3, 6, 7, 10, 21)</v>
      </c>
    </row>
    <row r="520" spans="1:35" x14ac:dyDescent="0.3">
      <c r="A520" t="str">
        <f>HYPERLINK("https://anilist.co/staff/97347","Staff: Jun Maeda (Theme Song Lyrics (OP))")</f>
        <v>Staff: Jun Maeda (Theme Song Lyrics (OP))</v>
      </c>
      <c r="B520" s="5">
        <v>70</v>
      </c>
      <c r="C520" s="9">
        <v>2</v>
      </c>
      <c r="D520" s="6">
        <v>2.8109627547434998E-4</v>
      </c>
      <c r="E520" s="7">
        <v>1.96767392832044E-2</v>
      </c>
      <c r="AF520" t="str">
        <v>Staff: WORDS in STEREO  (Series Composition)</v>
      </c>
      <c r="AI520" t="str">
        <v>Staff Role: Original Story Assistance</v>
      </c>
    </row>
    <row r="521" spans="1:35" x14ac:dyDescent="0.3">
      <c r="A521" t="str">
        <f>HYPERLINK("https://anilist.co/staff/97347","Staff: Jun Maeda (Theme Song Composition (OP))")</f>
        <v>Staff: Jun Maeda (Theme Song Composition (OP))</v>
      </c>
      <c r="B521" s="5">
        <v>70</v>
      </c>
      <c r="C521" s="9">
        <v>2</v>
      </c>
      <c r="D521" s="6">
        <v>2.8109627547434998E-4</v>
      </c>
      <c r="E521" s="7">
        <v>1.96767392832044E-2</v>
      </c>
      <c r="AF521" t="str">
        <v>Staff: Yuzuko Hanai (Character Design)</v>
      </c>
      <c r="AI521" t="str">
        <v>Staff Role: ADR Director (English; eps 1-7, 10)</v>
      </c>
    </row>
    <row r="522" spans="1:35" x14ac:dyDescent="0.3">
      <c r="A522" t="str">
        <f>HYPERLINK("https://anilist.co/staff/145109","Staff: Kentarou Tsubone (Editing)")</f>
        <v>Staff: Kentarou Tsubone (Editing)</v>
      </c>
      <c r="B522" s="5">
        <v>70</v>
      </c>
      <c r="C522" s="9">
        <v>2</v>
      </c>
      <c r="D522" s="6">
        <v>2.8109627547434998E-4</v>
      </c>
      <c r="E522" s="7">
        <v>1.96767392832044E-2</v>
      </c>
      <c r="AF522" t="str">
        <v>Staff: Kouji Hayashi (Director of Photography)</v>
      </c>
      <c r="AI522" t="str">
        <v>Staff Role: ADR Director (English; eps 8, 9, 11, 12)</v>
      </c>
    </row>
    <row r="523" spans="1:35" x14ac:dyDescent="0.3">
      <c r="A523" t="str">
        <f>HYPERLINK("https://anilist.co/staff/101729","Staff: Jad Saxton (ADR Director (English))")</f>
        <v>Staff: Jad Saxton (ADR Director (English))</v>
      </c>
      <c r="B523" s="5">
        <v>70</v>
      </c>
      <c r="C523" s="9">
        <v>2</v>
      </c>
      <c r="D523" s="6">
        <v>2.8109627547434998E-4</v>
      </c>
      <c r="E523" s="7">
        <v>1.96767392832044E-2</v>
      </c>
      <c r="AF523" t="str">
        <v>Staff: Taichi Hatanaka (Animation Producer)</v>
      </c>
      <c r="AI523" t="str">
        <v>Staff Role: Storyboard (OP,ED; eps 1-2, 5, 7-8, 10)</v>
      </c>
    </row>
    <row r="524" spans="1:35" x14ac:dyDescent="0.3">
      <c r="A524" t="str">
        <f>HYPERLINK("https://anilist.co/staff/95859","Staff: Leah Clark (Script (English))")</f>
        <v>Staff: Leah Clark (Script (English))</v>
      </c>
      <c r="B524" s="5">
        <v>70</v>
      </c>
      <c r="C524" s="9">
        <v>2</v>
      </c>
      <c r="D524" s="6">
        <v>2.8109627547434998E-4</v>
      </c>
      <c r="E524" s="7">
        <v>1.96767392832044E-2</v>
      </c>
      <c r="AF524" t="str">
        <v>Staff: Miki Sorakubo (Color Design)</v>
      </c>
      <c r="AI524" t="str">
        <v>Staff Role: Storyboard (eps 6, 9)</v>
      </c>
    </row>
    <row r="525" spans="1:35" x14ac:dyDescent="0.3">
      <c r="A525" t="str">
        <f>HYPERLINK("https://anilist.co/staff/146769","Staff: Jeramey Kraatz (ADR Script Supervisor (English))")</f>
        <v>Staff: Jeramey Kraatz (ADR Script Supervisor (English))</v>
      </c>
      <c r="B525" s="5">
        <v>70</v>
      </c>
      <c r="C525" s="9">
        <v>2</v>
      </c>
      <c r="D525" s="6">
        <v>2.8109627547434998E-4</v>
      </c>
      <c r="E525" s="7">
        <v>1.96767392832044E-2</v>
      </c>
      <c r="AF525" t="str">
        <v>Staff: Hisayoshi Hirasawa (Sound Director)</v>
      </c>
      <c r="AI525" t="str">
        <v>Staff Role: Storyboard (eps 3-4)</v>
      </c>
    </row>
    <row r="526" spans="1:35" x14ac:dyDescent="0.3">
      <c r="A526" t="str">
        <f>HYPERLINK("https://anilist.co/staff/145373","Staff: Yannik Raiss (ADR Director (German))")</f>
        <v>Staff: Yannik Raiss (ADR Director (German))</v>
      </c>
      <c r="B526" s="5">
        <v>70</v>
      </c>
      <c r="C526" s="9">
        <v>2</v>
      </c>
      <c r="D526" s="6">
        <v>2.8109627547434998E-4</v>
      </c>
      <c r="E526" s="7">
        <v>1.96767392832044E-2</v>
      </c>
      <c r="AF526" t="str">
        <v>Staff: Saori Tachibana (Director)</v>
      </c>
      <c r="AI526" t="str">
        <v>Staff Role: Episode Director (eps 6, 9)</v>
      </c>
    </row>
    <row r="527" spans="1:35" x14ac:dyDescent="0.3">
      <c r="A527" t="str">
        <f>HYPERLINK("https://anilist.co/staff/120936","Staff: Katsuhiro Kumagai (Character Design)")</f>
        <v>Staff: Katsuhiro Kumagai (Character Design)</v>
      </c>
      <c r="B527" s="5">
        <v>70</v>
      </c>
      <c r="C527" s="9">
        <v>2</v>
      </c>
      <c r="D527" s="6">
        <v>2.8109627547434998E-4</v>
      </c>
      <c r="E527" s="7">
        <v>1.96767392832044E-2</v>
      </c>
      <c r="AF527" t="str">
        <v>Staff: Imari Arita (Original Creator)</v>
      </c>
      <c r="AI527" t="str">
        <v>Staff Role: Episode Director (eps 1-2, 5, 10)</v>
      </c>
    </row>
    <row r="528" spans="1:35" x14ac:dyDescent="0.3">
      <c r="A528" t="str">
        <f>HYPERLINK("https://anilist.co/staff/102496","Staff: Hajime Hyakkoku (Music)")</f>
        <v>Staff: Hajime Hyakkoku (Music)</v>
      </c>
      <c r="B528" s="5">
        <v>70</v>
      </c>
      <c r="C528" s="9">
        <v>2</v>
      </c>
      <c r="D528" s="6">
        <v>2.8109627547434998E-4</v>
      </c>
      <c r="E528" s="7">
        <v>1.96767392832044E-2</v>
      </c>
      <c r="AF528" t="str">
        <v>Staff: Hitomi Mieno (Series Composition)</v>
      </c>
      <c r="AI528" t="str">
        <v>Staff Role: Episode Director (eps 3-4)</v>
      </c>
    </row>
    <row r="529" spans="1:35" x14ac:dyDescent="0.3">
      <c r="A529" t="str">
        <f>HYPERLINK("https://anilist.co/staff/146763","Staff: Takafumi Kuwano (Director of Photography)")</f>
        <v>Staff: Takafumi Kuwano (Director of Photography)</v>
      </c>
      <c r="B529" s="5">
        <v>70</v>
      </c>
      <c r="C529" s="9">
        <v>2</v>
      </c>
      <c r="D529" s="6">
        <v>2.8109627547434998E-4</v>
      </c>
      <c r="E529" s="7">
        <v>1.96767392832044E-2</v>
      </c>
      <c r="AF529" t="str">
        <v>Staff: Haruka Tanaka (Character Design)</v>
      </c>
      <c r="AI529" t="str">
        <v>Staff Role: Episode Director (eps 7-8)</v>
      </c>
    </row>
    <row r="530" spans="1:35" x14ac:dyDescent="0.3">
      <c r="A530" t="str">
        <f>HYPERLINK("https://anilist.co/staff/106630","Staff: Tyler Walker (ADR Script Supervisor (English))")</f>
        <v>Staff: Tyler Walker (ADR Script Supervisor (English))</v>
      </c>
      <c r="B530" s="5">
        <v>70</v>
      </c>
      <c r="C530" s="9">
        <v>2</v>
      </c>
      <c r="D530" s="6">
        <v>2.8109627547434998E-4</v>
      </c>
      <c r="E530" s="7">
        <v>1.96767392832044E-2</v>
      </c>
      <c r="AF530" t="str">
        <v>Staff: Ryuunosuke Kasai (Music)</v>
      </c>
      <c r="AI530" t="str">
        <v>Staff Role: Unit Director (ep 6)</v>
      </c>
    </row>
    <row r="531" spans="1:35" x14ac:dyDescent="0.3">
      <c r="A531" t="str">
        <f>HYPERLINK("https://anilist.co/staff/110641","Staff: Kazuyuki Fudeyasu (Script)")</f>
        <v>Staff: Kazuyuki Fudeyasu (Script)</v>
      </c>
      <c r="B531" s="5">
        <v>70</v>
      </c>
      <c r="C531" s="9">
        <v>2</v>
      </c>
      <c r="D531" s="6">
        <v>2.8109627547434998E-4</v>
      </c>
      <c r="E531" s="7">
        <v>1.96767392832044E-2</v>
      </c>
      <c r="AF531" t="str">
        <v>Staff: Satoshi Houno (Music)</v>
      </c>
      <c r="AI531" t="str">
        <v>Staff Role: Storyboard Assistance (ep 11)</v>
      </c>
    </row>
    <row r="532" spans="1:35" x14ac:dyDescent="0.3">
      <c r="A532" t="str">
        <f>HYPERLINK("https://anilist.co/staff/101863","Staff: Masayoshi Tanaka (Character Design)")</f>
        <v>Staff: Masayoshi Tanaka (Character Design)</v>
      </c>
      <c r="B532" s="5">
        <v>70</v>
      </c>
      <c r="C532" s="9">
        <v>2</v>
      </c>
      <c r="D532" s="6">
        <v>2.8109627547434998E-4</v>
      </c>
      <c r="E532" s="7">
        <v>1.96767392832044E-2</v>
      </c>
      <c r="AF532" t="str">
        <v>Staff: Maaya Uchida (Theme Song Performance (ED))</v>
      </c>
      <c r="AI532" t="str">
        <v>Staff Role: Storyboard (OP, ED, eps 1, 4, 7, 12)</v>
      </c>
    </row>
    <row r="533" spans="1:35" x14ac:dyDescent="0.3">
      <c r="A533" t="str">
        <f>HYPERLINK("https://anilist.co/staff/96117","Staff: Makoto Shinkai (Director)")</f>
        <v>Staff: Makoto Shinkai (Director)</v>
      </c>
      <c r="B533" s="5">
        <v>70</v>
      </c>
      <c r="C533" s="9">
        <v>2</v>
      </c>
      <c r="D533" s="6">
        <v>2.8109627547434998E-4</v>
      </c>
      <c r="E533" s="7">
        <v>1.96767392832044E-2</v>
      </c>
      <c r="AF533" t="str">
        <v>Staff: Kaori Ishihara (Theme Song Performance (OP))</v>
      </c>
      <c r="AI533" t="str">
        <v>Staff Role: Key Animation (OP, eps 1, 5, 11)</v>
      </c>
    </row>
    <row r="534" spans="1:35" x14ac:dyDescent="0.3">
      <c r="A534" t="str">
        <f>HYPERLINK("https://anilist.co/staff/96117","Staff: Makoto Shinkai (Script)")</f>
        <v>Staff: Makoto Shinkai (Script)</v>
      </c>
      <c r="B534" s="5">
        <v>70</v>
      </c>
      <c r="C534" s="9">
        <v>2</v>
      </c>
      <c r="D534" s="6">
        <v>2.8109627547434998E-4</v>
      </c>
      <c r="E534" s="7">
        <v>1.96767392832044E-2</v>
      </c>
      <c r="AF534" t="str">
        <v>Staff: Kuu Nanbara (Director)</v>
      </c>
      <c r="AI534" t="str">
        <v>Staff Role: Storyboard (eps 5, 11)</v>
      </c>
    </row>
    <row r="535" spans="1:35" x14ac:dyDescent="0.3">
      <c r="A535" t="str">
        <f>HYPERLINK("https://anilist.co/staff/126955","Staff: RADWIMPS (Theme Song Performance)")</f>
        <v>Staff: RADWIMPS (Theme Song Performance)</v>
      </c>
      <c r="B535" s="5">
        <v>70</v>
      </c>
      <c r="C535" s="9">
        <v>2</v>
      </c>
      <c r="D535" s="6">
        <v>2.8109627547434998E-4</v>
      </c>
      <c r="E535" s="7">
        <v>1.96767392832044E-2</v>
      </c>
      <c r="AF535" t="str">
        <v>Staff: Tsukumizu  (Original Creator)</v>
      </c>
      <c r="AI535" t="str">
        <v>Staff Role: Animation Director (eps 2, 5)</v>
      </c>
    </row>
    <row r="536" spans="1:35" x14ac:dyDescent="0.3">
      <c r="A536" t="str">
        <f>HYPERLINK("https://anilist.co/staff/114934","Staff: Matthias von Stegmann (ADR Director (German))")</f>
        <v>Staff: Matthias von Stegmann (ADR Director (German))</v>
      </c>
      <c r="B536" s="5">
        <v>70</v>
      </c>
      <c r="C536" s="9">
        <v>2</v>
      </c>
      <c r="D536" s="6">
        <v>2.8109627547434998E-4</v>
      </c>
      <c r="E536" s="7">
        <v>1.96767392832044E-2</v>
      </c>
      <c r="AF536" t="str">
        <v>Staff: Takaharu Ozaki (Director)</v>
      </c>
      <c r="AI536" t="str">
        <v>Staff Role: 2nd Key Animation (ep 1)</v>
      </c>
    </row>
    <row r="537" spans="1:35" x14ac:dyDescent="0.3">
      <c r="A537" t="str">
        <f>HYPERLINK("https://anilist.co/staff/96117","Staff: Makoto Shinkai (Original Creator)")</f>
        <v>Staff: Makoto Shinkai (Original Creator)</v>
      </c>
      <c r="B537" s="5">
        <v>70</v>
      </c>
      <c r="C537" s="9">
        <v>2</v>
      </c>
      <c r="D537" s="6">
        <v>2.8109627547434998E-4</v>
      </c>
      <c r="E537" s="7">
        <v>1.96767392832044E-2</v>
      </c>
      <c r="AF537" t="str">
        <v>Staff: Mai Toda (Character Design)</v>
      </c>
      <c r="AI537" t="str">
        <v>Staff Role: Assistant Animation Director (ep 5)</v>
      </c>
    </row>
    <row r="538" spans="1:35" x14ac:dyDescent="0.3">
      <c r="A538" t="str">
        <f>HYPERLINK("https://anilist.co/staff/148194","Staff: Takeyuki Takahashi (Art Design)")</f>
        <v>Staff: Takeyuki Takahashi (Art Design)</v>
      </c>
      <c r="B538" s="5">
        <v>70</v>
      </c>
      <c r="C538" s="9">
        <v>2</v>
      </c>
      <c r="D538" s="6">
        <v>2.8109627547434998E-4</v>
      </c>
      <c r="E538" s="7">
        <v>1.96767392832044E-2</v>
      </c>
      <c r="AF538" t="str">
        <v>Staff: Masahiro Gotou (Editing)</v>
      </c>
      <c r="AI538" t="str">
        <v>Staff Role: Animation Director (ep 11)</v>
      </c>
    </row>
    <row r="539" spans="1:35" x14ac:dyDescent="0.3">
      <c r="A539" t="str">
        <f>HYPERLINK("https://anilist.co/staff/131615","Staff: Genki Kawamura (Planning)")</f>
        <v>Staff: Genki Kawamura (Planning)</v>
      </c>
      <c r="B539" s="5">
        <v>70</v>
      </c>
      <c r="C539" s="9">
        <v>2</v>
      </c>
      <c r="D539" s="6">
        <v>2.8109627547434998E-4</v>
      </c>
      <c r="E539" s="7">
        <v>1.96767392832044E-2</v>
      </c>
      <c r="AF539" t="str">
        <v>Staff: Kenichi Kawamura (Storyboard (ep 6))</v>
      </c>
      <c r="AI539" t="str">
        <v>Staff Role: Assistant Animation Director (ep 8)</v>
      </c>
    </row>
    <row r="540" spans="1:35" x14ac:dyDescent="0.3">
      <c r="A540" t="str">
        <f>HYPERLINK("https://anilist.co/staff/102520","Staff: Masaru Yokoyama (Music)")</f>
        <v>Staff: Masaru Yokoyama (Music)</v>
      </c>
      <c r="B540" s="5">
        <v>70</v>
      </c>
      <c r="C540" s="9">
        <v>2</v>
      </c>
      <c r="D540" s="6">
        <v>2.8109627547434998E-4</v>
      </c>
      <c r="E540" s="7">
        <v>1.96767392832044E-2</v>
      </c>
      <c r="AF540" t="str">
        <v>Staff: Kazuyuki Fudeyasu (Script (eps 1-12))</v>
      </c>
    </row>
    <row r="541" spans="1:35" x14ac:dyDescent="0.3">
      <c r="A541" t="str">
        <f>HYPERLINK("https://anilist.co/staff/103127","Staff: Masaharu Watanabe (Director)")</f>
        <v>Staff: Masaharu Watanabe (Director)</v>
      </c>
      <c r="B541" s="5">
        <v>70</v>
      </c>
      <c r="C541" s="9">
        <v>2</v>
      </c>
      <c r="D541" s="6">
        <v>2.8109627547434998E-4</v>
      </c>
      <c r="E541" s="7">
        <v>1.96767392832044E-2</v>
      </c>
      <c r="AF541" t="str">
        <v>Staff: Tomoko Hiramuki (Episode Director (ep 10))</v>
      </c>
    </row>
    <row r="542" spans="1:35" x14ac:dyDescent="0.3">
      <c r="A542" t="str">
        <f>HYPERLINK("https://anilist.co/staff/114175","Staff: Masahiro Yokotani (Series Composition)")</f>
        <v>Staff: Masahiro Yokotani (Series Composition)</v>
      </c>
      <c r="B542" s="5">
        <v>70</v>
      </c>
      <c r="C542" s="9">
        <v>2</v>
      </c>
      <c r="D542" s="6">
        <v>2.8109627547434998E-4</v>
      </c>
      <c r="E542" s="7">
        <v>1.96767392832044E-2</v>
      </c>
      <c r="AF542" t="str">
        <v>Staff: Masayuki Sakoi (Storyboard (ep 7))</v>
      </c>
    </row>
    <row r="543" spans="1:35" x14ac:dyDescent="0.3">
      <c r="A543" t="str">
        <f>HYPERLINK("https://anilist.co/staff/156540","Staff: Chitose Kawazoe (Producer)")</f>
        <v>Staff: Chitose Kawazoe (Producer)</v>
      </c>
      <c r="B543" s="5">
        <v>70</v>
      </c>
      <c r="C543" s="9">
        <v>2</v>
      </c>
      <c r="D543" s="6">
        <v>2.8109627547434998E-4</v>
      </c>
      <c r="E543" s="7">
        <v>1.96767392832044E-2</v>
      </c>
      <c r="AF543" t="str">
        <v>Staff: Takaharu Ozaki (Episode Director (OP, eps 1, 5, 12))</v>
      </c>
    </row>
    <row r="544" spans="1:35" x14ac:dyDescent="0.3">
      <c r="A544" t="str">
        <f>HYPERLINK("https://anilist.co/staff/153279","Staff: Jirou Nagakawa (Animation Producer)")</f>
        <v>Staff: Jirou Nagakawa (Animation Producer)</v>
      </c>
      <c r="B544" s="5">
        <v>70</v>
      </c>
      <c r="C544" s="9">
        <v>2</v>
      </c>
      <c r="D544" s="6">
        <v>2.8109627547434998E-4</v>
      </c>
      <c r="E544" s="7">
        <v>1.96767392832044E-2</v>
      </c>
      <c r="AF544" t="str">
        <v>Staff: Takaharu Ozaki (Storyboard (OP, eps 1-3, 5, 9, 12))</v>
      </c>
    </row>
    <row r="545" spans="1:32" x14ac:dyDescent="0.3">
      <c r="A545" t="str">
        <f>HYPERLINK("https://anilist.co/staff/149177","Staff: Naoko Shoukinji (Prop Design)")</f>
        <v>Staff: Naoko Shoukinji (Prop Design)</v>
      </c>
      <c r="B545" s="5">
        <v>70</v>
      </c>
      <c r="C545" s="9">
        <v>2</v>
      </c>
      <c r="D545" s="6">
        <v>2.8109627547434998E-4</v>
      </c>
      <c r="E545" s="7">
        <v>1.96767392832044E-2</v>
      </c>
      <c r="AF545" t="str">
        <v>Staff: Kazuhisa Nakamura (Animation Director (eps 7, 12))</v>
      </c>
    </row>
    <row r="546" spans="1:32" x14ac:dyDescent="0.3">
      <c r="A546" t="str">
        <f>HYPERLINK("https://anilist.co/staff/99590","Staff: Karino Takatsu (Original Creator)")</f>
        <v>Staff: Karino Takatsu (Original Creator)</v>
      </c>
      <c r="B546" s="5">
        <v>70</v>
      </c>
      <c r="C546" s="9">
        <v>2</v>
      </c>
      <c r="D546" s="6">
        <v>2.8109627547434998E-4</v>
      </c>
      <c r="E546" s="7">
        <v>1.96767392832044E-2</v>
      </c>
      <c r="AF546" t="str">
        <v>Staff: Naoki Hiramura (Animation Director (eps 9, 11))</v>
      </c>
    </row>
    <row r="547" spans="1:32" x14ac:dyDescent="0.3">
      <c r="A547" t="s">
        <v>71</v>
      </c>
      <c r="B547" s="5">
        <v>65</v>
      </c>
      <c r="C547" s="9">
        <v>2</v>
      </c>
      <c r="D547" s="6">
        <v>2.8109627547434998E-4</v>
      </c>
      <c r="E547" s="7">
        <v>1.82712579058327E-2</v>
      </c>
      <c r="AF547" t="str">
        <v>Staff: Ryousuke Kimiya (Animation Director (OP, eps 8, 11))</v>
      </c>
    </row>
    <row r="548" spans="1:32" x14ac:dyDescent="0.3">
      <c r="A548" t="s">
        <v>307</v>
      </c>
      <c r="B548" s="5">
        <v>65</v>
      </c>
      <c r="C548" s="9">
        <v>2</v>
      </c>
      <c r="D548" s="6">
        <v>2.8109627547434998E-4</v>
      </c>
      <c r="E548" s="7">
        <v>1.82712579058327E-2</v>
      </c>
      <c r="AF548" t="str">
        <v>Staff: Takashi Nagayoshi (Animation Director (eps 6, 10))</v>
      </c>
    </row>
    <row r="549" spans="1:32" x14ac:dyDescent="0.3">
      <c r="A549" t="s">
        <v>374</v>
      </c>
      <c r="B549" s="5">
        <v>65</v>
      </c>
      <c r="C549" s="9">
        <v>2</v>
      </c>
      <c r="D549" s="6">
        <v>2.8109627547434998E-4</v>
      </c>
      <c r="E549" s="7">
        <v>1.82712579058327E-2</v>
      </c>
      <c r="AF549" t="str">
        <v>Staff: Mai Toda (Animation Director (ep 1))</v>
      </c>
    </row>
    <row r="550" spans="1:32" x14ac:dyDescent="0.3">
      <c r="A550" t="s">
        <v>375</v>
      </c>
      <c r="B550" s="5">
        <v>65</v>
      </c>
      <c r="C550" s="9">
        <v>2</v>
      </c>
      <c r="D550" s="6">
        <v>2.8109627547434998E-4</v>
      </c>
      <c r="E550" s="7">
        <v>1.82712579058327E-2</v>
      </c>
      <c r="AF550" t="str">
        <v>Staff: Mai Toda (Chief Animation Director (OP, eps 1-12))</v>
      </c>
    </row>
    <row r="551" spans="1:32" x14ac:dyDescent="0.3">
      <c r="A551" t="s">
        <v>776</v>
      </c>
      <c r="B551" s="5">
        <v>65</v>
      </c>
      <c r="C551" s="9">
        <v>2</v>
      </c>
      <c r="D551" s="6">
        <v>2.8109627547434998E-4</v>
      </c>
      <c r="E551" s="7">
        <v>1.82712579058327E-2</v>
      </c>
      <c r="AF551" t="str">
        <v>Staff: Zenya Yamamoto (Animation Director (eps 4, 11))</v>
      </c>
    </row>
    <row r="552" spans="1:32" x14ac:dyDescent="0.3">
      <c r="A552" t="str">
        <f>HYPERLINK("https://anilist.co/staff/207101","Staff: Naoya Kinoshita (Planning)")</f>
        <v>Staff: Naoya Kinoshita (Planning)</v>
      </c>
      <c r="B552" s="5">
        <v>65</v>
      </c>
      <c r="C552" s="9">
        <v>2</v>
      </c>
      <c r="D552" s="6">
        <v>2.8109627547434998E-4</v>
      </c>
      <c r="E552" s="7">
        <v>1.82712579058327E-2</v>
      </c>
      <c r="AF552" t="str">
        <v>Staff: Miyuki Nakayama (Animation Director (eps 5, 12))</v>
      </c>
    </row>
    <row r="553" spans="1:32" x14ac:dyDescent="0.3">
      <c r="A553" t="str">
        <f>HYPERLINK("https://anilist.co/staff/146326","Staff: Takeshi Hirooka (Director of Photography)")</f>
        <v>Staff: Takeshi Hirooka (Director of Photography)</v>
      </c>
      <c r="B553" s="5">
        <v>65</v>
      </c>
      <c r="C553" s="9">
        <v>2</v>
      </c>
      <c r="D553" s="6">
        <v>2.8109627547434998E-4</v>
      </c>
      <c r="E553" s="7">
        <v>1.82712579058327E-2</v>
      </c>
      <c r="AF553" t="str">
        <v>Staff: Shuusuke Aizawa (Animation Director (eps 3, 9))</v>
      </c>
    </row>
    <row r="554" spans="1:32" x14ac:dyDescent="0.3">
      <c r="A554" t="str">
        <f>HYPERLINK("https://anilist.co/staff/101573","Staff: Yoshihiro Ike (Music)")</f>
        <v>Staff: Yoshihiro Ike (Music)</v>
      </c>
      <c r="B554" s="5">
        <v>65</v>
      </c>
      <c r="C554" s="9">
        <v>2</v>
      </c>
      <c r="D554" s="6">
        <v>2.8109627547434998E-4</v>
      </c>
      <c r="E554" s="7">
        <v>1.82712579058327E-2</v>
      </c>
      <c r="AF554" t="str">
        <v>Staff: Hiroyuki Tsuchiya (Episode Director (eps 2, 6, 9))</v>
      </c>
    </row>
    <row r="555" spans="1:32" x14ac:dyDescent="0.3">
      <c r="A555" t="str">
        <f>HYPERLINK("https://anilist.co/staff/119896","Staff: Yukio Nagasaki (Sound Director)")</f>
        <v>Staff: Yukio Nagasaki (Sound Director)</v>
      </c>
      <c r="B555" s="5">
        <v>65</v>
      </c>
      <c r="C555" s="9">
        <v>2</v>
      </c>
      <c r="D555" s="6">
        <v>2.8109627547434998E-4</v>
      </c>
      <c r="E555" s="7">
        <v>1.82712579058327E-2</v>
      </c>
      <c r="AF555" t="str">
        <v>Staff: Naoko Takeichi (Episode Director (ep 3))</v>
      </c>
    </row>
    <row r="556" spans="1:32" x14ac:dyDescent="0.3">
      <c r="A556" t="str">
        <f>HYPERLINK("https://anilist.co/staff/121967","Staff: Keisuke Yanagi (Editing)")</f>
        <v>Staff: Keisuke Yanagi (Editing)</v>
      </c>
      <c r="B556" s="5">
        <v>65</v>
      </c>
      <c r="C556" s="9">
        <v>2</v>
      </c>
      <c r="D556" s="6">
        <v>2.8109627547434998E-4</v>
      </c>
      <c r="E556" s="7">
        <v>1.82712579058327E-2</v>
      </c>
      <c r="AF556" t="str">
        <v>Staff: Yako Gureishi (Original Creator)</v>
      </c>
    </row>
    <row r="557" spans="1:32" x14ac:dyDescent="0.3">
      <c r="A557" t="s">
        <v>199</v>
      </c>
      <c r="B557" s="5">
        <v>60</v>
      </c>
      <c r="C557" s="9">
        <v>2</v>
      </c>
      <c r="D557" s="6">
        <v>2.8109627547434998E-4</v>
      </c>
      <c r="E557" s="7">
        <v>1.6865776528461E-2</v>
      </c>
      <c r="AF557" t="str">
        <v>Staff: Kenji Yasuda (Director)</v>
      </c>
    </row>
    <row r="558" spans="1:32" x14ac:dyDescent="0.3">
      <c r="A558" t="s">
        <v>25</v>
      </c>
      <c r="B558" s="5">
        <v>100</v>
      </c>
      <c r="C558" s="9">
        <v>1</v>
      </c>
      <c r="D558" s="6">
        <v>1.4054813773717499E-4</v>
      </c>
      <c r="E558" s="7">
        <v>1.40548137737174E-2</v>
      </c>
      <c r="AF558" t="str">
        <v>Staff: Vincent Nghiem (Art Director)</v>
      </c>
    </row>
    <row r="559" spans="1:32" x14ac:dyDescent="0.3">
      <c r="A559" t="s">
        <v>188</v>
      </c>
      <c r="B559" s="5">
        <v>100</v>
      </c>
      <c r="C559" s="9">
        <v>1</v>
      </c>
      <c r="D559" s="6">
        <v>1.4054813773717499E-4</v>
      </c>
      <c r="E559" s="7">
        <v>1.40548137737174E-2</v>
      </c>
      <c r="AF559" t="str">
        <v>Staff: Ikuko Itou (Character Design)</v>
      </c>
    </row>
    <row r="560" spans="1:32" x14ac:dyDescent="0.3">
      <c r="A560" t="s">
        <v>190</v>
      </c>
      <c r="B560" s="5">
        <v>100</v>
      </c>
      <c r="C560" s="9">
        <v>1</v>
      </c>
      <c r="D560" s="6">
        <v>1.4054813773717499E-4</v>
      </c>
      <c r="E560" s="7">
        <v>1.40548137737174E-2</v>
      </c>
      <c r="AF560" t="str">
        <v>Staff: Chiho Nakamura (Color Design)</v>
      </c>
    </row>
    <row r="561" spans="1:32" x14ac:dyDescent="0.3">
      <c r="A561" t="s">
        <v>191</v>
      </c>
      <c r="B561" s="5">
        <v>100</v>
      </c>
      <c r="C561" s="9">
        <v>1</v>
      </c>
      <c r="D561" s="6">
        <v>1.4054813773717499E-4</v>
      </c>
      <c r="E561" s="7">
        <v>1.40548137737174E-2</v>
      </c>
      <c r="AF561" t="str">
        <v>Staff: Mariko Mochizuki (Series Composition)</v>
      </c>
    </row>
    <row r="562" spans="1:32" x14ac:dyDescent="0.3">
      <c r="A562" t="s">
        <v>193</v>
      </c>
      <c r="B562" s="5">
        <v>100</v>
      </c>
      <c r="C562" s="9">
        <v>1</v>
      </c>
      <c r="D562" s="6">
        <v>1.4054813773717499E-4</v>
      </c>
      <c r="E562" s="7">
        <v>1.40548137737174E-2</v>
      </c>
      <c r="AF562" t="str">
        <v>Staff: Yasuno Satou (Music Director)</v>
      </c>
    </row>
    <row r="563" spans="1:32" x14ac:dyDescent="0.3">
      <c r="A563" t="s">
        <v>195</v>
      </c>
      <c r="B563" s="5">
        <v>100</v>
      </c>
      <c r="C563" s="9">
        <v>1</v>
      </c>
      <c r="D563" s="6">
        <v>1.4054813773717499E-4</v>
      </c>
      <c r="E563" s="7">
        <v>1.40548137737174E-2</v>
      </c>
      <c r="AF563" t="str">
        <v>Staff: Takatoshi Hamano (Sound Director)</v>
      </c>
    </row>
    <row r="564" spans="1:32" x14ac:dyDescent="0.3">
      <c r="A564" t="s">
        <v>343</v>
      </c>
      <c r="B564" s="5">
        <v>100</v>
      </c>
      <c r="C564" s="9">
        <v>1</v>
      </c>
      <c r="D564" s="6">
        <v>1.4054813773717499E-4</v>
      </c>
      <c r="E564" s="7">
        <v>1.40548137737174E-2</v>
      </c>
      <c r="AF564" t="str">
        <v>Staff: Inori Minase (Theme Song Performance (ED))</v>
      </c>
    </row>
    <row r="565" spans="1:32" x14ac:dyDescent="0.3">
      <c r="A565" t="s">
        <v>344</v>
      </c>
      <c r="B565" s="5">
        <v>100</v>
      </c>
      <c r="C565" s="9">
        <v>1</v>
      </c>
      <c r="D565" s="6">
        <v>1.4054813773717499E-4</v>
      </c>
      <c r="E565" s="7">
        <v>1.40548137737174E-2</v>
      </c>
      <c r="AF565" t="str">
        <v>Staff: Ryo Yoshimata (Music)</v>
      </c>
    </row>
    <row r="566" spans="1:32" x14ac:dyDescent="0.3">
      <c r="A566" t="s">
        <v>456</v>
      </c>
      <c r="B566" s="5">
        <v>100</v>
      </c>
      <c r="C566" s="9">
        <v>1</v>
      </c>
      <c r="D566" s="6">
        <v>1.4054813773717499E-4</v>
      </c>
      <c r="E566" s="7">
        <v>1.40548137737174E-2</v>
      </c>
      <c r="AF566" t="str">
        <v>Staff: Naotarou Moriyama (Theme Song Performance (OP))</v>
      </c>
    </row>
    <row r="567" spans="1:32" x14ac:dyDescent="0.3">
      <c r="A567" t="s">
        <v>689</v>
      </c>
      <c r="B567" s="5">
        <v>100</v>
      </c>
      <c r="C567" s="9">
        <v>1</v>
      </c>
      <c r="D567" s="6">
        <v>1.4054813773717499E-4</v>
      </c>
      <c r="E567" s="7">
        <v>1.40548137737174E-2</v>
      </c>
      <c r="AF567" t="str">
        <v>Staff: Naotarou Moriyama (Theme Song Composition (OP))</v>
      </c>
    </row>
    <row r="568" spans="1:32" x14ac:dyDescent="0.3">
      <c r="A568" t="s">
        <v>695</v>
      </c>
      <c r="B568" s="5">
        <v>100</v>
      </c>
      <c r="C568" s="9">
        <v>1</v>
      </c>
      <c r="D568" s="6">
        <v>1.4054813773717499E-4</v>
      </c>
      <c r="E568" s="7">
        <v>1.40548137737174E-2</v>
      </c>
      <c r="AF568" t="str">
        <v>Staff: Kei Kawano (Theme Song Arrangement (OP))</v>
      </c>
    </row>
    <row r="569" spans="1:32" x14ac:dyDescent="0.3">
      <c r="A569" t="s">
        <v>696</v>
      </c>
      <c r="B569" s="5">
        <v>100</v>
      </c>
      <c r="C569" s="9">
        <v>1</v>
      </c>
      <c r="D569" s="6">
        <v>1.4054813773717499E-4</v>
      </c>
      <c r="E569" s="7">
        <v>1.40548137737174E-2</v>
      </c>
      <c r="AF569" t="str">
        <v>Staff: Inori Minase (Theme Song Lyrics (ED))</v>
      </c>
    </row>
    <row r="570" spans="1:32" x14ac:dyDescent="0.3">
      <c r="A570" t="s">
        <v>697</v>
      </c>
      <c r="B570" s="5">
        <v>100</v>
      </c>
      <c r="C570" s="9">
        <v>1</v>
      </c>
      <c r="D570" s="6">
        <v>1.4054813773717499E-4</v>
      </c>
      <c r="E570" s="7">
        <v>1.40548137737174E-2</v>
      </c>
      <c r="AF570" t="str">
        <v>Staff: Yuusuke Shirato (Theme Song Arrangement (ED))</v>
      </c>
    </row>
    <row r="571" spans="1:32" x14ac:dyDescent="0.3">
      <c r="A571" t="s">
        <v>698</v>
      </c>
      <c r="B571" s="5">
        <v>100</v>
      </c>
      <c r="C571" s="9">
        <v>1</v>
      </c>
      <c r="D571" s="6">
        <v>1.4054813773717499E-4</v>
      </c>
      <c r="E571" s="7">
        <v>1.40548137737174E-2</v>
      </c>
      <c r="AF571" t="str">
        <v>Staff: Hikaru Sakurazawa (Theme Song Composition (ED))</v>
      </c>
    </row>
    <row r="572" spans="1:32" x14ac:dyDescent="0.3">
      <c r="A572" t="s">
        <v>699</v>
      </c>
      <c r="B572" s="5">
        <v>100</v>
      </c>
      <c r="C572" s="9">
        <v>1</v>
      </c>
      <c r="D572" s="6">
        <v>1.4054813773717499E-4</v>
      </c>
      <c r="E572" s="7">
        <v>1.40548137737174E-2</v>
      </c>
      <c r="AF572" t="str">
        <v>Staff: Kei  Sugawara (Theme Song Lyrics (OP))</v>
      </c>
    </row>
    <row r="573" spans="1:32" x14ac:dyDescent="0.3">
      <c r="A573" t="s">
        <v>700</v>
      </c>
      <c r="B573" s="5">
        <v>100</v>
      </c>
      <c r="C573" s="9">
        <v>1</v>
      </c>
      <c r="D573" s="6">
        <v>1.4054813773717499E-4</v>
      </c>
      <c r="E573" s="7">
        <v>1.40548137737174E-2</v>
      </c>
      <c r="AF573" t="str">
        <v>Staff: Sachiko Oohashi (Sub Character Design)</v>
      </c>
    </row>
    <row r="574" spans="1:32" x14ac:dyDescent="0.3">
      <c r="A574" t="s">
        <v>701</v>
      </c>
      <c r="B574" s="5">
        <v>100</v>
      </c>
      <c r="C574" s="9">
        <v>1</v>
      </c>
      <c r="D574" s="6">
        <v>1.4054813773717499E-4</v>
      </c>
      <c r="E574" s="7">
        <v>1.40548137737174E-2</v>
      </c>
      <c r="AF574" t="str">
        <v>Staff: Sachiko Oohashi (Chief Animation Director (eps 7, 8))</v>
      </c>
    </row>
    <row r="575" spans="1:32" x14ac:dyDescent="0.3">
      <c r="A575" t="s">
        <v>702</v>
      </c>
      <c r="B575" s="5">
        <v>100</v>
      </c>
      <c r="C575" s="9">
        <v>1</v>
      </c>
      <c r="D575" s="6">
        <v>1.4054813773717499E-4</v>
      </c>
      <c r="E575" s="7">
        <v>1.40548137737174E-2</v>
      </c>
      <c r="AF575" t="str">
        <v>Staff: Sachiko Oohashi (Key Animation (OPa, OPb; ep 12))</v>
      </c>
    </row>
    <row r="576" spans="1:32" x14ac:dyDescent="0.3">
      <c r="A576" t="s">
        <v>704</v>
      </c>
      <c r="B576" s="5">
        <v>100</v>
      </c>
      <c r="C576" s="9">
        <v>1</v>
      </c>
      <c r="D576" s="6">
        <v>1.4054813773717499E-4</v>
      </c>
      <c r="E576" s="7">
        <v>1.40548137737174E-2</v>
      </c>
      <c r="AF576" t="str">
        <v>Staff: Akira Yamaoka (Music Producer)</v>
      </c>
    </row>
    <row r="577" spans="1:32" x14ac:dyDescent="0.3">
      <c r="A577" t="s">
        <v>705</v>
      </c>
      <c r="B577" s="5">
        <v>100</v>
      </c>
      <c r="C577" s="9">
        <v>1</v>
      </c>
      <c r="D577" s="6">
        <v>1.4054813773717499E-4</v>
      </c>
      <c r="E577" s="7">
        <v>1.40548137737174E-2</v>
      </c>
      <c r="AF577" t="str">
        <v>Staff: Loic Locatelli (Art Design)</v>
      </c>
    </row>
    <row r="578" spans="1:32" x14ac:dyDescent="0.3">
      <c r="A578" t="s">
        <v>1002</v>
      </c>
      <c r="B578" s="5">
        <v>100</v>
      </c>
      <c r="C578" s="9">
        <v>1</v>
      </c>
      <c r="D578" s="6">
        <v>1.4054813773717499E-4</v>
      </c>
      <c r="E578" s="7">
        <v>1.40548137737174E-2</v>
      </c>
      <c r="AF578" t="str">
        <v>Staff: Masako Iwamoto (Producer)</v>
      </c>
    </row>
    <row r="579" spans="1:32" x14ac:dyDescent="0.3">
      <c r="A579" t="s">
        <v>1003</v>
      </c>
      <c r="B579" s="5">
        <v>100</v>
      </c>
      <c r="C579" s="9">
        <v>1</v>
      </c>
      <c r="D579" s="6">
        <v>1.4054813773717499E-4</v>
      </c>
      <c r="E579" s="7">
        <v>1.40548137737174E-2</v>
      </c>
      <c r="AF579" t="str">
        <v>Staff: Osami Muramoto (Animation Producer)</v>
      </c>
    </row>
    <row r="580" spans="1:32" x14ac:dyDescent="0.3">
      <c r="A580" t="str">
        <f>HYPERLINK("https://anilist.co/staff/95002","Staff: Tomokazu Sugita (Insert Song Performance  (ep 133))")</f>
        <v>Staff: Tomokazu Sugita (Insert Song Performance  (ep 133))</v>
      </c>
      <c r="B580" s="5">
        <v>100</v>
      </c>
      <c r="C580" s="9">
        <v>1</v>
      </c>
      <c r="D580" s="6">
        <v>1.4054813773717499E-4</v>
      </c>
      <c r="E580" s="7">
        <v>1.40548137737174E-2</v>
      </c>
      <c r="AF580" t="str">
        <v>Staff: Tatsuya Endou (Original Creator)</v>
      </c>
    </row>
    <row r="581" spans="1:32" x14ac:dyDescent="0.3">
      <c r="A581" t="str">
        <f>HYPERLINK("https://anilist.co/staff/95132","Staff: Mikako Takahashi (Insert Song Performance)")</f>
        <v>Staff: Mikako Takahashi (Insert Song Performance)</v>
      </c>
      <c r="B581" s="5">
        <v>100</v>
      </c>
      <c r="C581" s="9">
        <v>1</v>
      </c>
      <c r="D581" s="6">
        <v>1.4054813773717499E-4</v>
      </c>
      <c r="E581" s="7">
        <v>1.40548137737174E-2</v>
      </c>
      <c r="AF581" t="str">
        <v>Staff: Kazuhiro Furuhashi (Director)</v>
      </c>
    </row>
    <row r="582" spans="1:32" x14ac:dyDescent="0.3">
      <c r="A582" t="str">
        <f>HYPERLINK("https://anilist.co/staff/96904","Staff: Hideaki Sorachi (Original Creator)")</f>
        <v>Staff: Hideaki Sorachi (Original Creator)</v>
      </c>
      <c r="B582" s="5">
        <v>100</v>
      </c>
      <c r="C582" s="9">
        <v>1</v>
      </c>
      <c r="D582" s="6">
        <v>1.4054813773717499E-4</v>
      </c>
      <c r="E582" s="7">
        <v>1.40548137737174E-2</v>
      </c>
      <c r="AF582" t="str">
        <v>Staff: Kazuaki Shimada (Character Design)</v>
      </c>
    </row>
    <row r="583" spans="1:32" x14ac:dyDescent="0.3">
      <c r="A583" t="str">
        <f>HYPERLINK("https://anilist.co/staff/97096","Staff: Michiko Yokote (Script)")</f>
        <v>Staff: Michiko Yokote (Script)</v>
      </c>
      <c r="B583" s="5">
        <v>100</v>
      </c>
      <c r="C583" s="9">
        <v>1</v>
      </c>
      <c r="D583" s="6">
        <v>1.4054813773717499E-4</v>
      </c>
      <c r="E583" s="7">
        <v>1.40548137737174E-2</v>
      </c>
      <c r="AF583" t="str">
        <v>Staff: (K)NoW_NAME (Music Production)</v>
      </c>
    </row>
    <row r="584" spans="1:32" x14ac:dyDescent="0.3">
      <c r="A584" t="str">
        <f>HYPERLINK("https://anilist.co/staff/100152","Staff: Shinji Takamatsu (Storyboard)")</f>
        <v>Staff: Shinji Takamatsu (Storyboard)</v>
      </c>
      <c r="B584" s="5">
        <v>100</v>
      </c>
      <c r="C584" s="9">
        <v>1</v>
      </c>
      <c r="D584" s="6">
        <v>1.4054813773717499E-4</v>
      </c>
      <c r="E584" s="7">
        <v>1.40548137737174E-2</v>
      </c>
      <c r="AF584" t="str">
        <v>Staff: Kyouji Asano (Chief Animation Director (eps 3, 5, 7, 9, 10))</v>
      </c>
    </row>
    <row r="585" spans="1:32" x14ac:dyDescent="0.3">
      <c r="A585" t="str">
        <f>HYPERLINK("https://anilist.co/staff/100323","Staff: Yukiko Ban (Animation Director)")</f>
        <v>Staff: Yukiko Ban (Animation Director)</v>
      </c>
      <c r="B585" s="5">
        <v>100</v>
      </c>
      <c r="C585" s="9">
        <v>1</v>
      </c>
      <c r="D585" s="6">
        <v>1.4054813773717499E-4</v>
      </c>
      <c r="E585" s="7">
        <v>1.40548137737174E-2</v>
      </c>
      <c r="AF585" t="str">
        <v>Staff: Kazuaki Shimada (Chief Animation Director (eps 1, 2, 4, 8, 12))</v>
      </c>
    </row>
    <row r="586" spans="1:32" x14ac:dyDescent="0.3">
      <c r="A586" t="str">
        <f>HYPERLINK("https://anilist.co/staff/100323","Staff: Yukiko Ban (Key Animation)")</f>
        <v>Staff: Yukiko Ban (Key Animation)</v>
      </c>
      <c r="B586" s="5">
        <v>100</v>
      </c>
      <c r="C586" s="9">
        <v>1</v>
      </c>
      <c r="D586" s="6">
        <v>1.4054813773717499E-4</v>
      </c>
      <c r="E586" s="7">
        <v>1.40548137737174E-2</v>
      </c>
      <c r="AF586" t="str">
        <v>Staff: Satomi Sugimoto (Art Design)</v>
      </c>
    </row>
    <row r="587" spans="1:32" x14ac:dyDescent="0.3">
      <c r="A587" t="str">
        <f>HYPERLINK("https://anilist.co/staff/100904","Staff: Hitomi Takahashi (Theme Song Performance (ED4))")</f>
        <v>Staff: Hitomi Takahashi (Theme Song Performance (ED4))</v>
      </c>
      <c r="B587" s="5">
        <v>100</v>
      </c>
      <c r="C587" s="9">
        <v>1</v>
      </c>
      <c r="D587" s="6">
        <v>1.4054813773717499E-4</v>
      </c>
      <c r="E587" s="7">
        <v>1.40548137737174E-2</v>
      </c>
      <c r="AF587" t="str">
        <v>Staff: Yuuho Taniuchi (Art Design)</v>
      </c>
    </row>
    <row r="588" spans="1:32" x14ac:dyDescent="0.3">
      <c r="A588" t="str">
        <f>HYPERLINK("https://anilist.co/staff/101308","Staff: Akatsuki Yamatoya (Series Composition)")</f>
        <v>Staff: Akatsuki Yamatoya (Series Composition)</v>
      </c>
      <c r="B588" s="5">
        <v>100</v>
      </c>
      <c r="C588" s="9">
        <v>1</v>
      </c>
      <c r="D588" s="6">
        <v>1.4054813773717499E-4</v>
      </c>
      <c r="E588" s="7">
        <v>1.40548137737174E-2</v>
      </c>
      <c r="AF588" t="str">
        <v>Staff: Kazushige Kanehira (Art Design)</v>
      </c>
    </row>
    <row r="589" spans="1:32" x14ac:dyDescent="0.3">
      <c r="A589" t="str">
        <f>HYPERLINK("https://anilist.co/staff/101308","Staff: Akatsuki Yamatoya (Script)")</f>
        <v>Staff: Akatsuki Yamatoya (Script)</v>
      </c>
      <c r="B589" s="5">
        <v>100</v>
      </c>
      <c r="C589" s="9">
        <v>1</v>
      </c>
      <c r="D589" s="6">
        <v>1.4054813773717499E-4</v>
      </c>
      <c r="E589" s="7">
        <v>1.40548137737174E-2</v>
      </c>
      <c r="AF589" t="str">
        <v>Staff: Satoshi Hashimoto (Color Design)</v>
      </c>
    </row>
    <row r="590" spans="1:32" x14ac:dyDescent="0.3">
      <c r="A590" t="str">
        <f>HYPERLINK("https://anilist.co/staff/101485","Staff: Tomoko Kawase (Theme Song Performance (OP 1))")</f>
        <v>Staff: Tomoko Kawase (Theme Song Performance (OP 1))</v>
      </c>
      <c r="B590" s="5">
        <v>100</v>
      </c>
      <c r="C590" s="9">
        <v>1</v>
      </c>
      <c r="D590" s="6">
        <v>1.4054813773717499E-4</v>
      </c>
      <c r="E590" s="7">
        <v>1.40548137737174E-2</v>
      </c>
      <c r="AF590" t="str">
        <v>Staff: Kazuo Nagai (Art Director)</v>
      </c>
    </row>
    <row r="591" spans="1:32" x14ac:dyDescent="0.3">
      <c r="A591" t="str">
        <f>HYPERLINK("https://anilist.co/staff/101485","Staff: Tomoko Kawase (Theme Song Lyrics (OP1))")</f>
        <v>Staff: Tomoko Kawase (Theme Song Lyrics (OP1))</v>
      </c>
      <c r="B591" s="5">
        <v>100</v>
      </c>
      <c r="C591" s="9">
        <v>1</v>
      </c>
      <c r="D591" s="6">
        <v>1.4054813773717499E-4</v>
      </c>
      <c r="E591" s="7">
        <v>1.40548137737174E-2</v>
      </c>
      <c r="AF591" t="str">
        <v>Staff: Akari Saitou (Editing)</v>
      </c>
    </row>
    <row r="592" spans="1:32" x14ac:dyDescent="0.3">
      <c r="A592" t="str">
        <f>HYPERLINK("https://anilist.co/staff/101707","Staff: Joe Inoue (Theme Song Performance (R2))")</f>
        <v>Staff: Joe Inoue (Theme Song Performance (R2))</v>
      </c>
      <c r="B592" s="5">
        <v>100</v>
      </c>
      <c r="C592" s="9">
        <v>1</v>
      </c>
      <c r="D592" s="6">
        <v>1.4054813773717499E-4</v>
      </c>
      <c r="E592" s="7">
        <v>1.40548137737174E-2</v>
      </c>
      <c r="AF592" t="str">
        <v>Staff: Akane Fushihara (Director of Photography)</v>
      </c>
    </row>
    <row r="593" spans="1:32" x14ac:dyDescent="0.3">
      <c r="A593" t="str">
        <f>HYPERLINK("https://anilist.co/staff/101887","Staff: Shinji Takeuchi (Character Design)")</f>
        <v>Staff: Shinji Takeuchi (Character Design)</v>
      </c>
      <c r="B593" s="5">
        <v>100</v>
      </c>
      <c r="C593" s="9">
        <v>1</v>
      </c>
      <c r="D593" s="6">
        <v>1.4054813773717499E-4</v>
      </c>
      <c r="E593" s="7">
        <v>1.40548137737174E-2</v>
      </c>
      <c r="AF593" t="str">
        <v>Staff: Kana Imagaki (CG Director)</v>
      </c>
    </row>
    <row r="594" spans="1:32" x14ac:dyDescent="0.3">
      <c r="A594" t="str">
        <f>HYPERLINK("https://anilist.co/staff/102186","Staff:  Hearts Grow (Theme Song Performance (Kasanaru Kage))")</f>
        <v>Staff:  Hearts Grow (Theme Song Performance (Kasanaru Kage))</v>
      </c>
      <c r="B594" s="5">
        <v>100</v>
      </c>
      <c r="C594" s="9">
        <v>1</v>
      </c>
      <c r="D594" s="6">
        <v>1.4054813773717499E-4</v>
      </c>
      <c r="E594" s="7">
        <v>1.40548137737174E-2</v>
      </c>
      <c r="AF594" t="str">
        <v>Staff: Takashi Katagiri (Assistant Director)</v>
      </c>
    </row>
    <row r="595" spans="1:32" x14ac:dyDescent="0.3">
      <c r="A595" t="str">
        <f>HYPERLINK("https://anilist.co/staff/103369","Staff:  Beat Crusaders (Theme Song Performance  (ED14))")</f>
        <v>Staff:  Beat Crusaders (Theme Song Performance  (ED14))</v>
      </c>
      <c r="B595" s="5">
        <v>100</v>
      </c>
      <c r="C595" s="9">
        <v>1</v>
      </c>
      <c r="D595" s="6">
        <v>1.4054813773717499E-4</v>
      </c>
      <c r="E595" s="7">
        <v>1.40548137737174E-2</v>
      </c>
      <c r="AF595" t="str">
        <v>Staff: Takahiro Harada  (Assistant Director)</v>
      </c>
    </row>
    <row r="596" spans="1:32" x14ac:dyDescent="0.3">
      <c r="A596" t="str">
        <f>HYPERLINK("https://anilist.co/staff/103471","Staff:  Shigi (Theme Song Performance (12th ED))")</f>
        <v>Staff:  Shigi (Theme Song Performance (12th ED))</v>
      </c>
      <c r="B596" s="5">
        <v>100</v>
      </c>
      <c r="C596" s="9">
        <v>1</v>
      </c>
      <c r="D596" s="6">
        <v>1.4054813773717499E-4</v>
      </c>
      <c r="E596" s="7">
        <v>1.40548137737174E-2</v>
      </c>
      <c r="AF596" t="str">
        <v>Staff: Norihito Takahashi (Assistant Director)</v>
      </c>
    </row>
    <row r="597" spans="1:32" x14ac:dyDescent="0.3">
      <c r="A597" t="str">
        <f>HYPERLINK("https://anilist.co/staff/103630","Staff: Kelun  (Theme Song Performance (Ending 7))")</f>
        <v>Staff: Kelun  (Theme Song Performance (Ending 7))</v>
      </c>
      <c r="B597" s="5">
        <v>100</v>
      </c>
      <c r="C597" s="9">
        <v>1</v>
      </c>
      <c r="D597" s="6">
        <v>1.4054813773717499E-4</v>
      </c>
      <c r="E597" s="7">
        <v>1.40548137737174E-2</v>
      </c>
      <c r="AF597" t="str">
        <v>Staff: Yuuya Sakuma  (Assistant Director of Photography)</v>
      </c>
    </row>
    <row r="598" spans="1:32" x14ac:dyDescent="0.3">
      <c r="A598" t="str">
        <f>HYPERLINK("https://anilist.co/staff/104260","Staff: DOES  (Theme Song Performance (ED6, OP5))")</f>
        <v>Staff: DOES  (Theme Song Performance (ED6, OP5))</v>
      </c>
      <c r="B598" s="5">
        <v>100</v>
      </c>
      <c r="C598" s="9">
        <v>1</v>
      </c>
      <c r="D598" s="6">
        <v>1.4054813773717499E-4</v>
      </c>
      <c r="E598" s="7">
        <v>1.40548137737174E-2</v>
      </c>
      <c r="AF598" t="str">
        <v>Staff: Gen Hoshino (Theme Song Performance (ED))</v>
      </c>
    </row>
    <row r="599" spans="1:32" x14ac:dyDescent="0.3">
      <c r="A599" t="str">
        <f>HYPERLINK("https://anilist.co/staff/104260","Staff: DOES  (Theme Song Arrangement (OP5, ED6))")</f>
        <v>Staff: DOES  (Theme Song Arrangement (OP5, ED6))</v>
      </c>
      <c r="B599" s="5">
        <v>100</v>
      </c>
      <c r="C599" s="9">
        <v>1</v>
      </c>
      <c r="D599" s="6">
        <v>1.4054813773717499E-4</v>
      </c>
      <c r="E599" s="7">
        <v>1.40548137737174E-2</v>
      </c>
      <c r="AF599" t="str">
        <v>Staff: Official HIGE DANdism (Theme Song Performance (OP))</v>
      </c>
    </row>
    <row r="600" spans="1:32" x14ac:dyDescent="0.3">
      <c r="A600" t="str">
        <f>HYPERLINK("https://anilist.co/staff/105040","Staff:  AZU (Theme Song Performance (ED3))")</f>
        <v>Staff:  AZU (Theme Song Performance (ED3))</v>
      </c>
      <c r="B600" s="5">
        <v>100</v>
      </c>
      <c r="C600" s="9">
        <v>1</v>
      </c>
      <c r="D600" s="6">
        <v>1.4054813773717499E-4</v>
      </c>
      <c r="E600" s="7">
        <v>1.40548137737174E-2</v>
      </c>
      <c r="AF600" t="str">
        <v>Staff: Kazue Hayashi (Animation Producer)</v>
      </c>
    </row>
    <row r="601" spans="1:32" x14ac:dyDescent="0.3">
      <c r="A601" t="str">
        <f>HYPERLINK("https://anilist.co/staff/105120","Staff: Chiaki Kuriyama (Theme Song Performance (R3))")</f>
        <v>Staff: Chiaki Kuriyama (Theme Song Performance (R3))</v>
      </c>
      <c r="B601" s="5">
        <v>100</v>
      </c>
      <c r="C601" s="9">
        <v>1</v>
      </c>
      <c r="D601" s="6">
        <v>1.4054813773717499E-4</v>
      </c>
      <c r="E601" s="7">
        <v>1.40548137737174E-2</v>
      </c>
      <c r="AF601" t="str">
        <v>Staff: Kazuki Yamanaka (Animation Producer)</v>
      </c>
    </row>
    <row r="602" spans="1:32" x14ac:dyDescent="0.3">
      <c r="A602" t="str">
        <f>HYPERLINK("https://anilist.co/staff/105201","Staff:  Base Ball Bear (Theme Song Performance (OP7))")</f>
        <v>Staff:  Base Ball Bear (Theme Song Performance (OP7))</v>
      </c>
      <c r="B602" s="5">
        <v>100</v>
      </c>
      <c r="C602" s="9">
        <v>1</v>
      </c>
      <c r="D602" s="6">
        <v>1.4054813773717499E-4</v>
      </c>
      <c r="E602" s="7">
        <v>1.40548137737174E-2</v>
      </c>
      <c r="AF602" t="str">
        <v>Staff: Taichi Ishidate (Director)</v>
      </c>
    </row>
    <row r="603" spans="1:32" x14ac:dyDescent="0.3">
      <c r="A603" t="str">
        <f>HYPERLINK("https://anilist.co/staff/106310","Staff:  Piko (Theme Song Performance)")</f>
        <v>Staff:  Piko (Theme Song Performance)</v>
      </c>
      <c r="B603" s="5">
        <v>100</v>
      </c>
      <c r="C603" s="9">
        <v>1</v>
      </c>
      <c r="D603" s="6">
        <v>1.4054813773717499E-4</v>
      </c>
      <c r="E603" s="7">
        <v>1.40548137737174E-2</v>
      </c>
      <c r="AF603" t="str">
        <v>Staff: Miho Karasawa (Theme Song Performance (OP))</v>
      </c>
    </row>
    <row r="604" spans="1:32" x14ac:dyDescent="0.3">
      <c r="A604" t="str">
        <f>HYPERLINK("https://anilist.co/staff/121386","Staff: Afro (Original Creator)")</f>
        <v>Staff: Afro (Original Creator)</v>
      </c>
      <c r="B604" s="5">
        <v>100</v>
      </c>
      <c r="C604" s="9">
        <v>1</v>
      </c>
      <c r="D604" s="6">
        <v>1.4054813773717499E-4</v>
      </c>
      <c r="E604" s="7">
        <v>1.40548137737174E-2</v>
      </c>
      <c r="AF604" t="str">
        <v>Staff: Akiko Takase (Character Design)</v>
      </c>
    </row>
    <row r="605" spans="1:32" x14ac:dyDescent="0.3">
      <c r="A605" t="str">
        <f>HYPERLINK("https://anilist.co/staff/98185","Staff: Mutsumi Sasaki (Character Design)")</f>
        <v>Staff: Mutsumi Sasaki (Character Design)</v>
      </c>
      <c r="B605" s="5">
        <v>100</v>
      </c>
      <c r="C605" s="9">
        <v>1</v>
      </c>
      <c r="D605" s="6">
        <v>1.4054813773717499E-4</v>
      </c>
      <c r="E605" s="7">
        <v>1.40548137737174E-2</v>
      </c>
      <c r="AF605" t="str">
        <v>Staff: Akiko Takase (Chief Animation Director)</v>
      </c>
    </row>
    <row r="606" spans="1:32" x14ac:dyDescent="0.3">
      <c r="A606" t="str">
        <f>HYPERLINK("https://anilist.co/staff/122440","Staff: Yoshiaki Kyougoku (Director)")</f>
        <v>Staff: Yoshiaki Kyougoku (Director)</v>
      </c>
      <c r="B606" s="5">
        <v>100</v>
      </c>
      <c r="C606" s="9">
        <v>1</v>
      </c>
      <c r="D606" s="6">
        <v>1.4054813773717499E-4</v>
      </c>
      <c r="E606" s="7">
        <v>1.40548137737174E-2</v>
      </c>
      <c r="AF606" t="str">
        <v>Staff: Taichi Ishidate (Key Animation (OP))</v>
      </c>
    </row>
    <row r="607" spans="1:32" x14ac:dyDescent="0.3">
      <c r="A607" t="str">
        <f>HYPERLINK("https://anilist.co/staff/122441","Staff: Jin Tanaka (Series Composition)")</f>
        <v>Staff: Jin Tanaka (Series Composition)</v>
      </c>
      <c r="B607" s="5">
        <v>100</v>
      </c>
      <c r="C607" s="9">
        <v>1</v>
      </c>
      <c r="D607" s="6">
        <v>1.4054813773717499E-4</v>
      </c>
      <c r="E607" s="7">
        <v>1.40548137737174E-2</v>
      </c>
      <c r="AF607" t="str">
        <v>Staff: Haruka Fujita (Key Animation (ED))</v>
      </c>
    </row>
    <row r="608" spans="1:32" x14ac:dyDescent="0.3">
      <c r="A608" t="str">
        <f>HYPERLINK("https://anilist.co/staff/120412","Staff: Asaka  (Theme Song Performance (OP))")</f>
        <v>Staff: Asaka  (Theme Song Performance (OP))</v>
      </c>
      <c r="B608" s="5">
        <v>100</v>
      </c>
      <c r="C608" s="9">
        <v>1</v>
      </c>
      <c r="D608" s="6">
        <v>1.4054813773717499E-4</v>
      </c>
      <c r="E608" s="7">
        <v>1.40548137737174E-2</v>
      </c>
      <c r="AF608" t="str">
        <v>Staff: Yoshiji Kigami (Key Animation (PV, eps 8, 10, 13))</v>
      </c>
    </row>
    <row r="609" spans="1:32" x14ac:dyDescent="0.3">
      <c r="A609" t="str">
        <f>HYPERLINK("https://anilist.co/staff/136637","Staff: Kyouhei Yamamoto (Key Animation (eps 2, 7))")</f>
        <v>Staff: Kyouhei Yamamoto (Key Animation (eps 2, 7))</v>
      </c>
      <c r="B609" s="5">
        <v>100</v>
      </c>
      <c r="C609" s="9">
        <v>1</v>
      </c>
      <c r="D609" s="6">
        <v>1.4054813773717499E-4</v>
      </c>
      <c r="E609" s="7">
        <v>1.40548137737174E-2</v>
      </c>
      <c r="AF609" t="str">
        <v>Staff: Mikiko Watanabe (Background Art (PV, eps 1, 3, 7, 9, 10, 12, 13))</v>
      </c>
    </row>
    <row r="610" spans="1:32" x14ac:dyDescent="0.3">
      <c r="A610" t="str">
        <f>HYPERLINK("https://anilist.co/staff/146424","Staff: Eri Sasaki (Theme Song Performance (ED))")</f>
        <v>Staff: Eri Sasaki (Theme Song Performance (ED))</v>
      </c>
      <c r="B610" s="5">
        <v>100</v>
      </c>
      <c r="C610" s="9">
        <v>1</v>
      </c>
      <c r="D610" s="6">
        <v>1.4054813773717499E-4</v>
      </c>
      <c r="E610" s="7">
        <v>1.40548137737174E-2</v>
      </c>
      <c r="AF610" t="str">
        <v>Staff: Jouji Unoguchi (Art Design)</v>
      </c>
    </row>
    <row r="611" spans="1:32" x14ac:dyDescent="0.3">
      <c r="A611" t="str">
        <f>HYPERLINK("https://anilist.co/staff/104299","Staff: Yoshimi Umino (Art Director)")</f>
        <v>Staff: Yoshimi Umino (Art Director)</v>
      </c>
      <c r="B611" s="5">
        <v>100</v>
      </c>
      <c r="C611" s="9">
        <v>1</v>
      </c>
      <c r="D611" s="6">
        <v>1.4054813773717499E-4</v>
      </c>
      <c r="E611" s="7">
        <v>1.40548137737174E-2</v>
      </c>
      <c r="AF611" t="str">
        <v>Staff: Rin Yamamoto (CG Director)</v>
      </c>
    </row>
    <row r="612" spans="1:32" x14ac:dyDescent="0.3">
      <c r="A612" t="str">
        <f>HYPERLINK("https://anilist.co/staff/147461","Staff: Taeko Mizuno (Color Design)")</f>
        <v>Staff: Taeko Mizuno (Color Design)</v>
      </c>
      <c r="B612" s="5">
        <v>100</v>
      </c>
      <c r="C612" s="9">
        <v>1</v>
      </c>
      <c r="D612" s="6">
        <v>1.4054813773717499E-4</v>
      </c>
      <c r="E612" s="7">
        <v>1.40548137737174E-2</v>
      </c>
      <c r="AF612" t="str">
        <v>Staff: Evan Call (Music)</v>
      </c>
    </row>
    <row r="613" spans="1:32" x14ac:dyDescent="0.3">
      <c r="A613" t="str">
        <f>HYPERLINK("https://anilist.co/staff/142613","Staff: Hideyuki Nanba (Planning)")</f>
        <v>Staff: Hideyuki Nanba (Planning)</v>
      </c>
      <c r="B613" s="5">
        <v>100</v>
      </c>
      <c r="C613" s="9">
        <v>1</v>
      </c>
      <c r="D613" s="6">
        <v>1.4054813773717499E-4</v>
      </c>
      <c r="E613" s="7">
        <v>1.40548137737174E-2</v>
      </c>
      <c r="AF613" t="str">
        <v>Staff: Kana Akatsuki (Original Creator)</v>
      </c>
    </row>
    <row r="614" spans="1:32" x14ac:dyDescent="0.3">
      <c r="A614" t="str">
        <f>HYPERLINK("https://anilist.co/staff/131876","Staff: Hideyuki Saida (Planning)")</f>
        <v>Staff: Hideyuki Saida (Planning)</v>
      </c>
      <c r="B614" s="5">
        <v>100</v>
      </c>
      <c r="C614" s="9">
        <v>1</v>
      </c>
      <c r="D614" s="6">
        <v>1.4054813773717499E-4</v>
      </c>
      <c r="E614" s="7">
        <v>1.40548137737174E-2</v>
      </c>
      <c r="AF614" t="str">
        <v>Staff: Yuki Tsunoda (Animation Director (eps 4, 6, 7, 13))</v>
      </c>
    </row>
    <row r="615" spans="1:32" x14ac:dyDescent="0.3">
      <c r="A615" t="str">
        <f>HYPERLINK("https://anilist.co/staff/149066","Staff: Hiroaki Tanaka (Director of Photography)")</f>
        <v>Staff: Hiroaki Tanaka (Director of Photography)</v>
      </c>
      <c r="B615" s="5">
        <v>100</v>
      </c>
      <c r="C615" s="9">
        <v>1</v>
      </c>
      <c r="D615" s="6">
        <v>1.4054813773717499E-4</v>
      </c>
      <c r="E615" s="7">
        <v>1.40548137737174E-2</v>
      </c>
      <c r="AF615" t="str">
        <v>Staff: Yuki Tsunoda (Key Animation (ep 4))</v>
      </c>
    </row>
    <row r="616" spans="1:32" x14ac:dyDescent="0.3">
      <c r="A616" t="str">
        <f>HYPERLINK("https://anilist.co/staff/142322","Staff: Yuuichi Tada (Producer)")</f>
        <v>Staff: Yuuichi Tada (Producer)</v>
      </c>
      <c r="B616" s="5">
        <v>100</v>
      </c>
      <c r="C616" s="9">
        <v>1</v>
      </c>
      <c r="D616" s="6">
        <v>1.4054813773717499E-4</v>
      </c>
      <c r="E616" s="7">
        <v>1.40548137737174E-2</v>
      </c>
      <c r="AF616" t="str">
        <v>Staff: Yuuko Myouken (Animation Director (eps 1, 3, 11))</v>
      </c>
    </row>
    <row r="617" spans="1:32" x14ac:dyDescent="0.3">
      <c r="A617" t="str">
        <f>HYPERLINK("https://anilist.co/staff/142404","Staff: Katsuya Tasaki (Planning)")</f>
        <v>Staff: Katsuya Tasaki (Planning)</v>
      </c>
      <c r="B617" s="5">
        <v>100</v>
      </c>
      <c r="C617" s="9">
        <v>1</v>
      </c>
      <c r="D617" s="6">
        <v>1.4054813773717499E-4</v>
      </c>
      <c r="E617" s="7">
        <v>1.40548137737174E-2</v>
      </c>
      <c r="AF617" t="str">
        <v>Staff: Minori Chihara (Theme Song Performance (ED))</v>
      </c>
    </row>
    <row r="618" spans="1:32" x14ac:dyDescent="0.3">
      <c r="A618" t="str">
        <f>HYPERLINK("https://anilist.co/staff/232419","Staff: Hideo Momoda (Producer)")</f>
        <v>Staff: Hideo Momoda (Producer)</v>
      </c>
      <c r="B618" s="5">
        <v>100</v>
      </c>
      <c r="C618" s="9">
        <v>1</v>
      </c>
      <c r="D618" s="6">
        <v>1.4054813773717499E-4</v>
      </c>
      <c r="E618" s="7">
        <v>1.40548137737174E-2</v>
      </c>
      <c r="AF618" t="str">
        <v>=HYPERLINK("https://anilist.co/staff/118490","Staff: Miho Karasawa (Insert Song Performance "Letter" (ep 14))")</v>
      </c>
    </row>
    <row r="619" spans="1:32" x14ac:dyDescent="0.3">
      <c r="A619" t="str">
        <f>HYPERLINK("https://anilist.co/staff/146496","Staff: Mitsuhiro Sakakibara (Planning)")</f>
        <v>Staff: Mitsuhiro Sakakibara (Planning)</v>
      </c>
      <c r="B619" s="5">
        <v>100</v>
      </c>
      <c r="C619" s="9">
        <v>1</v>
      </c>
      <c r="D619" s="6">
        <v>1.4054813773717499E-4</v>
      </c>
      <c r="E619" s="7">
        <v>1.40548137737174E-2</v>
      </c>
      <c r="AF619" t="str">
        <v>Staff: Miho Karasawa (Theme Song Lyrics (OP))</v>
      </c>
    </row>
    <row r="620" spans="1:32" x14ac:dyDescent="0.3">
      <c r="A620" t="str">
        <f>HYPERLINK("https://anilist.co/staff/146494","Staff: Masato Yoshida (Planning)")</f>
        <v>Staff: Masato Yoshida (Planning)</v>
      </c>
      <c r="B620" s="5">
        <v>100</v>
      </c>
      <c r="C620" s="9">
        <v>1</v>
      </c>
      <c r="D620" s="6">
        <v>1.4054813773717499E-4</v>
      </c>
      <c r="E620" s="7">
        <v>1.40548137737174E-2</v>
      </c>
      <c r="AF620" t="str">
        <v>=HYPERLINK("https://anilist.co/staff/118490","Staff: Miho Karasawa (Insert Song Lyrics "Letter" (ep 14))")</v>
      </c>
    </row>
    <row r="621" spans="1:32" x14ac:dyDescent="0.3">
      <c r="A621" t="str">
        <f>HYPERLINK("https://anilist.co/staff/114313","Staff: Chiyomaru Shikura (Planning)")</f>
        <v>Staff: Chiyomaru Shikura (Planning)</v>
      </c>
      <c r="B621" s="5">
        <v>100</v>
      </c>
      <c r="C621" s="9">
        <v>1</v>
      </c>
      <c r="D621" s="6">
        <v>1.4054813773717499E-4</v>
      </c>
      <c r="E621" s="7">
        <v>1.40548137737174E-2</v>
      </c>
      <c r="AF621" t="str">
        <v>Staff: Hiroyuki Takahashi (Accessory Design)</v>
      </c>
    </row>
    <row r="622" spans="1:32" x14ac:dyDescent="0.3">
      <c r="A622" t="str">
        <f>HYPERLINK("https://anilist.co/staff/195314","Staff: Hajime Maruo (Mechanical Animation Director (eps 1-5))")</f>
        <v>Staff: Hajime Maruo (Mechanical Animation Director (eps 1-5))</v>
      </c>
      <c r="B622" s="5">
        <v>100</v>
      </c>
      <c r="C622" s="9">
        <v>1</v>
      </c>
      <c r="D622" s="6">
        <v>1.4054813773717499E-4</v>
      </c>
      <c r="E622" s="7">
        <v>1.40548137737174E-2</v>
      </c>
      <c r="AF622" t="str">
        <v>Staff: Hiroyuki Takahashi (Key Animation (ep 11))</v>
      </c>
    </row>
    <row r="623" spans="1:32" x14ac:dyDescent="0.3">
      <c r="A623" t="str">
        <f>HYPERLINK("https://anilist.co/staff/156437","Staff: Nahoko Yamaoka (Prop Design)")</f>
        <v>Staff: Nahoko Yamaoka (Prop Design)</v>
      </c>
      <c r="B623" s="5">
        <v>100</v>
      </c>
      <c r="C623" s="9">
        <v>1</v>
      </c>
      <c r="D623" s="6">
        <v>1.4054813773717499E-4</v>
      </c>
      <c r="E623" s="7">
        <v>1.40548137737174E-2</v>
      </c>
      <c r="AF623" t="str">
        <v>Staff: Takaaki Suzuki (World Design)</v>
      </c>
    </row>
    <row r="624" spans="1:32" x14ac:dyDescent="0.3">
      <c r="A624" t="s">
        <v>8</v>
      </c>
      <c r="B624" s="5">
        <v>90</v>
      </c>
      <c r="C624" s="9">
        <v>1</v>
      </c>
      <c r="D624" s="6">
        <v>1.4054813773717499E-4</v>
      </c>
      <c r="E624" s="7">
        <v>1.26493323963457E-2</v>
      </c>
      <c r="AF624" t="str">
        <v>Staff: Minoru Oota (Accessory Design)</v>
      </c>
    </row>
    <row r="625" spans="1:32" x14ac:dyDescent="0.3">
      <c r="A625" t="s">
        <v>168</v>
      </c>
      <c r="B625" s="5">
        <v>90</v>
      </c>
      <c r="C625" s="9">
        <v>1</v>
      </c>
      <c r="D625" s="6">
        <v>1.4054813773717499E-4</v>
      </c>
      <c r="E625" s="7">
        <v>1.26493323963457E-2</v>
      </c>
      <c r="AF625" t="str">
        <v>Staff: Fujita (Original Creator)</v>
      </c>
    </row>
    <row r="626" spans="1:32" x14ac:dyDescent="0.3">
      <c r="A626" t="s">
        <v>201</v>
      </c>
      <c r="B626" s="5">
        <v>90</v>
      </c>
      <c r="C626" s="9">
        <v>1</v>
      </c>
      <c r="D626" s="6">
        <v>1.4054813773717499E-4</v>
      </c>
      <c r="E626" s="7">
        <v>1.26493323963457E-2</v>
      </c>
      <c r="AF626" t="str">
        <v>Staff: Takahiro Yasuda (Character Design)</v>
      </c>
    </row>
    <row r="627" spans="1:32" x14ac:dyDescent="0.3">
      <c r="A627" t="s">
        <v>214</v>
      </c>
      <c r="B627" s="5">
        <v>90</v>
      </c>
      <c r="C627" s="9">
        <v>1</v>
      </c>
      <c r="D627" s="6">
        <v>1.4054813773717499E-4</v>
      </c>
      <c r="E627" s="7">
        <v>1.26493323963457E-2</v>
      </c>
      <c r="AF627" t="str">
        <v>Staff: Akimitsu Honma (Music)</v>
      </c>
    </row>
    <row r="628" spans="1:32" x14ac:dyDescent="0.3">
      <c r="A628" t="s">
        <v>234</v>
      </c>
      <c r="B628" s="5">
        <v>90</v>
      </c>
      <c r="C628" s="9">
        <v>1</v>
      </c>
      <c r="D628" s="6">
        <v>1.4054813773717499E-4</v>
      </c>
      <c r="E628" s="7">
        <v>1.26493323963457E-2</v>
      </c>
      <c r="AF628" t="str">
        <v>Staff: Emi Kesamaru (Art Design)</v>
      </c>
    </row>
    <row r="629" spans="1:32" x14ac:dyDescent="0.3">
      <c r="A629" t="s">
        <v>302</v>
      </c>
      <c r="B629" s="5">
        <v>90</v>
      </c>
      <c r="C629" s="9">
        <v>1</v>
      </c>
      <c r="D629" s="6">
        <v>1.4054813773717499E-4</v>
      </c>
      <c r="E629" s="7">
        <v>1.26493323963457E-2</v>
      </c>
      <c r="AF629" t="str">
        <v>Staff: sumika (Theme Song Performance (OP))</v>
      </c>
    </row>
    <row r="630" spans="1:32" x14ac:dyDescent="0.3">
      <c r="A630" t="s">
        <v>334</v>
      </c>
      <c r="B630" s="5">
        <v>90</v>
      </c>
      <c r="C630" s="9">
        <v>1</v>
      </c>
      <c r="D630" s="6">
        <v>1.4054813773717499E-4</v>
      </c>
      <c r="E630" s="7">
        <v>1.26493323963457E-2</v>
      </c>
      <c r="AF630" t="str">
        <v>Staff: halca (Theme Song Performance (ED1, ED2))</v>
      </c>
    </row>
    <row r="631" spans="1:32" x14ac:dyDescent="0.3">
      <c r="A631" t="s">
        <v>346</v>
      </c>
      <c r="B631" s="5">
        <v>90</v>
      </c>
      <c r="C631" s="9">
        <v>1</v>
      </c>
      <c r="D631" s="6">
        <v>1.4054813773717499E-4</v>
      </c>
      <c r="E631" s="7">
        <v>1.26493323963457E-2</v>
      </c>
      <c r="AF631" t="str">
        <v>Staff: Mio Araki (Chief Animation Director (eps 1-11))</v>
      </c>
    </row>
    <row r="632" spans="1:32" x14ac:dyDescent="0.3">
      <c r="A632" t="s">
        <v>348</v>
      </c>
      <c r="B632" s="5">
        <v>90</v>
      </c>
      <c r="C632" s="9">
        <v>1</v>
      </c>
      <c r="D632" s="6">
        <v>1.4054813773717499E-4</v>
      </c>
      <c r="E632" s="7">
        <v>1.26493323963457E-2</v>
      </c>
      <c r="AF632" t="str">
        <v>Staff: Izumi Sakamoto  (Color Design)</v>
      </c>
    </row>
    <row r="633" spans="1:32" x14ac:dyDescent="0.3">
      <c r="A633" t="s">
        <v>387</v>
      </c>
      <c r="B633" s="5">
        <v>90</v>
      </c>
      <c r="C633" s="9">
        <v>1</v>
      </c>
      <c r="D633" s="6">
        <v>1.4054813773717499E-4</v>
      </c>
      <c r="E633" s="7">
        <v>1.26493323963457E-2</v>
      </c>
      <c r="AF633" t="str">
        <v>Staff: Takahiro Yasuda (Chief Animation Director (eps 1-11))</v>
      </c>
    </row>
    <row r="634" spans="1:32" x14ac:dyDescent="0.3">
      <c r="A634" t="s">
        <v>537</v>
      </c>
      <c r="B634" s="5">
        <v>90</v>
      </c>
      <c r="C634" s="9">
        <v>1</v>
      </c>
      <c r="D634" s="6">
        <v>1.4054813773717499E-4</v>
      </c>
      <c r="E634" s="7">
        <v>1.26493323963457E-2</v>
      </c>
      <c r="AF634" t="str">
        <v>Staff: Michiko Morokuma (Art Director)</v>
      </c>
    </row>
    <row r="635" spans="1:32" x14ac:dyDescent="0.3">
      <c r="A635" t="s">
        <v>538</v>
      </c>
      <c r="B635" s="5">
        <v>90</v>
      </c>
      <c r="C635" s="9">
        <v>1</v>
      </c>
      <c r="D635" s="6">
        <v>1.4054813773717499E-4</v>
      </c>
      <c r="E635" s="7">
        <v>1.26493323963457E-2</v>
      </c>
      <c r="AF635" t="str">
        <v>Staff: Kenta Kataoka (Theme Song Lyrics (OP))</v>
      </c>
    </row>
    <row r="636" spans="1:32" x14ac:dyDescent="0.3">
      <c r="A636" t="s">
        <v>542</v>
      </c>
      <c r="B636" s="5">
        <v>90</v>
      </c>
      <c r="C636" s="9">
        <v>1</v>
      </c>
      <c r="D636" s="6">
        <v>1.4054813773717499E-4</v>
      </c>
      <c r="E636" s="7">
        <v>1.26493323963457E-2</v>
      </c>
      <c r="AF636" t="str">
        <v>Staff: sumika (Theme Song Arrangement (OP))</v>
      </c>
    </row>
    <row r="637" spans="1:32" x14ac:dyDescent="0.3">
      <c r="A637" t="s">
        <v>543</v>
      </c>
      <c r="B637" s="5">
        <v>90</v>
      </c>
      <c r="C637" s="9">
        <v>1</v>
      </c>
      <c r="D637" s="6">
        <v>1.4054813773717499E-4</v>
      </c>
      <c r="E637" s="7">
        <v>1.26493323963457E-2</v>
      </c>
      <c r="AF637" t="str">
        <v>Staff: Tomoya Kawasaki (Theme Song Arrangement (ED1))</v>
      </c>
    </row>
    <row r="638" spans="1:32" x14ac:dyDescent="0.3">
      <c r="A638" t="s">
        <v>549</v>
      </c>
      <c r="B638" s="5">
        <v>90</v>
      </c>
      <c r="C638" s="9">
        <v>1</v>
      </c>
      <c r="D638" s="6">
        <v>1.4054813773717499E-4</v>
      </c>
      <c r="E638" s="7">
        <v>1.26493323963457E-2</v>
      </c>
      <c r="AF638" t="str">
        <v>Staff: Tomoya Kawasaki (Theme Song Composition (ED1))</v>
      </c>
    </row>
    <row r="639" spans="1:32" x14ac:dyDescent="0.3">
      <c r="A639" t="s">
        <v>553</v>
      </c>
      <c r="B639" s="5">
        <v>90</v>
      </c>
      <c r="C639" s="9">
        <v>1</v>
      </c>
      <c r="D639" s="6">
        <v>1.4054813773717499E-4</v>
      </c>
      <c r="E639" s="7">
        <v>1.26493323963457E-2</v>
      </c>
      <c r="AF639" t="str">
        <v>Staff: Kenta Kataoka (Theme Song Composition (OP))</v>
      </c>
    </row>
    <row r="640" spans="1:32" x14ac:dyDescent="0.3">
      <c r="A640" t="s">
        <v>554</v>
      </c>
      <c r="B640" s="5">
        <v>90</v>
      </c>
      <c r="C640" s="9">
        <v>1</v>
      </c>
      <c r="D640" s="6">
        <v>1.4054813773717499E-4</v>
      </c>
      <c r="E640" s="7">
        <v>1.26493323963457E-2</v>
      </c>
      <c r="AF640" t="str">
        <v>Staff: Junko Miyajima (Theme Song Lyrics (ED1, ED2))</v>
      </c>
    </row>
    <row r="641" spans="1:32" x14ac:dyDescent="0.3">
      <c r="A641" t="s">
        <v>555</v>
      </c>
      <c r="B641" s="5">
        <v>90</v>
      </c>
      <c r="C641" s="9">
        <v>1</v>
      </c>
      <c r="D641" s="6">
        <v>1.4054813773717499E-4</v>
      </c>
      <c r="E641" s="7">
        <v>1.26493323963457E-2</v>
      </c>
      <c r="AF641" t="str">
        <v>Staff: Naokado Fujiyama (Producer)</v>
      </c>
    </row>
    <row r="642" spans="1:32" x14ac:dyDescent="0.3">
      <c r="A642" t="s">
        <v>556</v>
      </c>
      <c r="B642" s="5">
        <v>90</v>
      </c>
      <c r="C642" s="9">
        <v>1</v>
      </c>
      <c r="D642" s="6">
        <v>1.4054813773717499E-4</v>
      </c>
      <c r="E642" s="7">
        <v>1.26493323963457E-2</v>
      </c>
      <c r="AF642" t="str">
        <v>Staff: Akira Kimura (Production)</v>
      </c>
    </row>
    <row r="643" spans="1:32" x14ac:dyDescent="0.3">
      <c r="A643" t="s">
        <v>557</v>
      </c>
      <c r="B643" s="5">
        <v>90</v>
      </c>
      <c r="C643" s="9">
        <v>1</v>
      </c>
      <c r="D643" s="6">
        <v>1.4054813773717499E-4</v>
      </c>
      <c r="E643" s="7">
        <v>1.26493323963457E-2</v>
      </c>
      <c r="AF643" t="str">
        <v>Staff: Asato Mizu (Original Creator)</v>
      </c>
    </row>
    <row r="644" spans="1:32" x14ac:dyDescent="0.3">
      <c r="A644" t="s">
        <v>560</v>
      </c>
      <c r="B644" s="5">
        <v>90</v>
      </c>
      <c r="C644" s="9">
        <v>1</v>
      </c>
      <c r="D644" s="6">
        <v>1.4054813773717499E-4</v>
      </c>
      <c r="E644" s="7">
        <v>1.26493323963457E-2</v>
      </c>
      <c r="AF644" t="str">
        <v>Staff: Satoru Kousaki (Music)</v>
      </c>
    </row>
    <row r="645" spans="1:32" x14ac:dyDescent="0.3">
      <c r="A645" t="s">
        <v>653</v>
      </c>
      <c r="B645" s="5">
        <v>90</v>
      </c>
      <c r="C645" s="9">
        <v>1</v>
      </c>
      <c r="D645" s="6">
        <v>1.4054813773717499E-4</v>
      </c>
      <c r="E645" s="7">
        <v>1.26493323963457E-2</v>
      </c>
      <c r="AF645" t="str">
        <v>Staff: Yuuko Yahiro (Character Design)</v>
      </c>
    </row>
    <row r="646" spans="1:32" x14ac:dyDescent="0.3">
      <c r="A646" t="s">
        <v>654</v>
      </c>
      <c r="B646" s="5">
        <v>90</v>
      </c>
      <c r="C646" s="9">
        <v>1</v>
      </c>
      <c r="D646" s="6">
        <v>1.4054813773717499E-4</v>
      </c>
      <c r="E646" s="7">
        <v>1.26493323963457E-2</v>
      </c>
      <c r="AF646" t="str">
        <v>Staff: Yasutaka Yamamoto (Chief Director)</v>
      </c>
    </row>
    <row r="647" spans="1:32" x14ac:dyDescent="0.3">
      <c r="A647" t="s">
        <v>655</v>
      </c>
      <c r="B647" s="5">
        <v>90</v>
      </c>
      <c r="C647" s="9">
        <v>1</v>
      </c>
      <c r="D647" s="6">
        <v>1.4054813773717499E-4</v>
      </c>
      <c r="E647" s="7">
        <v>1.26493323963457E-2</v>
      </c>
      <c r="AF647" t="str">
        <v>Staff: Tomoe Makino (Director)</v>
      </c>
    </row>
    <row r="648" spans="1:32" x14ac:dyDescent="0.3">
      <c r="A648" t="s">
        <v>658</v>
      </c>
      <c r="B648" s="5">
        <v>90</v>
      </c>
      <c r="C648" s="9">
        <v>1</v>
      </c>
      <c r="D648" s="6">
        <v>1.4054813773717499E-4</v>
      </c>
      <c r="E648" s="7">
        <v>1.26493323963457E-2</v>
      </c>
      <c r="AF648" t="str">
        <v>Staff: Ayumu Hisao (Script (eps 2, 5, 8))</v>
      </c>
    </row>
    <row r="649" spans="1:32" x14ac:dyDescent="0.3">
      <c r="A649" t="s">
        <v>659</v>
      </c>
      <c r="B649" s="5">
        <v>90</v>
      </c>
      <c r="C649" s="9">
        <v>1</v>
      </c>
      <c r="D649" s="6">
        <v>1.4054813773717499E-4</v>
      </c>
      <c r="E649" s="7">
        <v>1.26493323963457E-2</v>
      </c>
      <c r="AF649" t="str">
        <v>Staff: Takao Yoshioka (Script (eps 1, 4, 7))</v>
      </c>
    </row>
    <row r="650" spans="1:32" x14ac:dyDescent="0.3">
      <c r="A650" t="s">
        <v>660</v>
      </c>
      <c r="B650" s="5">
        <v>90</v>
      </c>
      <c r="C650" s="9">
        <v>1</v>
      </c>
      <c r="D650" s="6">
        <v>1.4054813773717499E-4</v>
      </c>
      <c r="E650" s="7">
        <v>1.26493323963457E-2</v>
      </c>
      <c r="AF650" t="str">
        <v>Staff: Yuuki Fukuchi  (Chief Animation Director (eps 3, 6))</v>
      </c>
    </row>
    <row r="651" spans="1:32" x14ac:dyDescent="0.3">
      <c r="A651" t="s">
        <v>661</v>
      </c>
      <c r="B651" s="5">
        <v>90</v>
      </c>
      <c r="C651" s="9">
        <v>1</v>
      </c>
      <c r="D651" s="6">
        <v>1.4054813773717499E-4</v>
      </c>
      <c r="E651" s="7">
        <v>1.26493323963457E-2</v>
      </c>
      <c r="AF651" t="str">
        <v>Staff: Yuuko Yahiro (Chief Animation Director (OP, ED, ep 1))</v>
      </c>
    </row>
    <row r="652" spans="1:32" x14ac:dyDescent="0.3">
      <c r="A652" t="s">
        <v>662</v>
      </c>
      <c r="B652" s="5">
        <v>90</v>
      </c>
      <c r="C652" s="9">
        <v>1</v>
      </c>
      <c r="D652" s="6">
        <v>1.4054813773717499E-4</v>
      </c>
      <c r="E652" s="7">
        <v>1.26493323963457E-2</v>
      </c>
      <c r="AF652" t="str">
        <v>Staff: Chie Mishima (Chief Animation Director (eps 2, 5, 8))</v>
      </c>
    </row>
    <row r="653" spans="1:32" x14ac:dyDescent="0.3">
      <c r="A653" t="s">
        <v>663</v>
      </c>
      <c r="B653" s="5">
        <v>90</v>
      </c>
      <c r="C653" s="9">
        <v>1</v>
      </c>
      <c r="D653" s="6">
        <v>1.4054813773717499E-4</v>
      </c>
      <c r="E653" s="7">
        <v>1.26493323963457E-2</v>
      </c>
      <c r="AF653" t="str">
        <v>Staff: Tomoko Iwasa (Chief Animation Director (eps 1, 4))</v>
      </c>
    </row>
    <row r="654" spans="1:32" x14ac:dyDescent="0.3">
      <c r="A654" t="s">
        <v>664</v>
      </c>
      <c r="B654" s="5">
        <v>90</v>
      </c>
      <c r="C654" s="9">
        <v>1</v>
      </c>
      <c r="D654" s="6">
        <v>1.4054813773717499E-4</v>
      </c>
      <c r="E654" s="7">
        <v>1.26493323963457E-2</v>
      </c>
      <c r="AF654" t="str">
        <v>Staff: Kenichi Kurata (Art Director)</v>
      </c>
    </row>
    <row r="655" spans="1:32" x14ac:dyDescent="0.3">
      <c r="A655" t="s">
        <v>666</v>
      </c>
      <c r="B655" s="5">
        <v>90</v>
      </c>
      <c r="C655" s="9">
        <v>1</v>
      </c>
      <c r="D655" s="6">
        <v>1.4054813773717499E-4</v>
      </c>
      <c r="E655" s="7">
        <v>1.26493323963457E-2</v>
      </c>
      <c r="AF655" t="str">
        <v>Staff: Chiharu Tanaka (Color Design)</v>
      </c>
    </row>
    <row r="656" spans="1:32" x14ac:dyDescent="0.3">
      <c r="A656" t="s">
        <v>667</v>
      </c>
      <c r="B656" s="5">
        <v>90</v>
      </c>
      <c r="C656" s="9">
        <v>1</v>
      </c>
      <c r="D656" s="6">
        <v>1.4054813773717499E-4</v>
      </c>
      <c r="E656" s="7">
        <v>1.26493323963457E-2</v>
      </c>
      <c r="AF656" t="str">
        <v>Staff: Kazuya Iwai (Director of Photography)</v>
      </c>
    </row>
    <row r="657" spans="1:32" x14ac:dyDescent="0.3">
      <c r="A657" t="s">
        <v>723</v>
      </c>
      <c r="B657" s="5">
        <v>90</v>
      </c>
      <c r="C657" s="9">
        <v>1</v>
      </c>
      <c r="D657" s="6">
        <v>1.4054813773717499E-4</v>
      </c>
      <c r="E657" s="7">
        <v>1.26493323963457E-2</v>
      </c>
      <c r="AF657" t="str">
        <v>Staff: Minori Kimura (Special Effects)</v>
      </c>
    </row>
    <row r="658" spans="1:32" x14ac:dyDescent="0.3">
      <c r="A658" t="s">
        <v>724</v>
      </c>
      <c r="B658" s="5">
        <v>90</v>
      </c>
      <c r="C658" s="9">
        <v>1</v>
      </c>
      <c r="D658" s="6">
        <v>1.4054813773717499E-4</v>
      </c>
      <c r="E658" s="7">
        <v>1.26493323963457E-2</v>
      </c>
      <c r="AF658" t="str">
        <v>Staff: Nobuyuki Abe (Sound Director)</v>
      </c>
    </row>
    <row r="659" spans="1:32" x14ac:dyDescent="0.3">
      <c r="A659" t="s">
        <v>725</v>
      </c>
      <c r="B659" s="5">
        <v>90</v>
      </c>
      <c r="C659" s="9">
        <v>1</v>
      </c>
      <c r="D659" s="6">
        <v>1.4054813773717499E-4</v>
      </c>
      <c r="E659" s="7">
        <v>1.26493323963457E-2</v>
      </c>
      <c r="AF659" t="str">
        <v>Staff: Kouichirou Natsume (Executive Producer)</v>
      </c>
    </row>
    <row r="660" spans="1:32" x14ac:dyDescent="0.3">
      <c r="A660" t="s">
        <v>727</v>
      </c>
      <c r="B660" s="5">
        <v>90</v>
      </c>
      <c r="C660" s="9">
        <v>1</v>
      </c>
      <c r="D660" s="6">
        <v>1.4054813773717499E-4</v>
      </c>
      <c r="E660" s="7">
        <v>1.26493323963457E-2</v>
      </c>
      <c r="AF660" t="str">
        <v>Staff: Kiyomi Yamada (Editing)</v>
      </c>
    </row>
    <row r="661" spans="1:32" x14ac:dyDescent="0.3">
      <c r="A661" t="s">
        <v>728</v>
      </c>
      <c r="B661" s="5">
        <v>90</v>
      </c>
      <c r="C661" s="9">
        <v>1</v>
      </c>
      <c r="D661" s="6">
        <v>1.4054813773717499E-4</v>
      </c>
      <c r="E661" s="7">
        <v>1.26493323963457E-2</v>
      </c>
      <c r="AF661" t="str">
        <v>Staff: Ryou Aizawa (Producer)</v>
      </c>
    </row>
    <row r="662" spans="1:32" x14ac:dyDescent="0.3">
      <c r="A662" t="s">
        <v>729</v>
      </c>
      <c r="B662" s="5">
        <v>90</v>
      </c>
      <c r="C662" s="9">
        <v>1</v>
      </c>
      <c r="D662" s="6">
        <v>1.4054813773717499E-4</v>
      </c>
      <c r="E662" s="7">
        <v>1.26493323963457E-2</v>
      </c>
      <c r="AF662" t="str">
        <v>Staff: TrySail (Theme Song Performance (OP))</v>
      </c>
    </row>
    <row r="663" spans="1:32" x14ac:dyDescent="0.3">
      <c r="A663" t="s">
        <v>730</v>
      </c>
      <c r="B663" s="5">
        <v>90</v>
      </c>
      <c r="C663" s="9">
        <v>1</v>
      </c>
      <c r="D663" s="6">
        <v>1.4054813773717499E-4</v>
      </c>
      <c r="E663" s="7">
        <v>1.26493323963457E-2</v>
      </c>
      <c r="AF663" t="str">
        <v>Staff: HaKoniwalily (Theme Song Performance (ED))</v>
      </c>
    </row>
    <row r="664" spans="1:32" x14ac:dyDescent="0.3">
      <c r="A664" t="s">
        <v>731</v>
      </c>
      <c r="B664" s="5">
        <v>90</v>
      </c>
      <c r="C664" s="9">
        <v>1</v>
      </c>
      <c r="D664" s="6">
        <v>1.4054813773717499E-4</v>
      </c>
      <c r="E664" s="7">
        <v>1.26493323963457E-2</v>
      </c>
      <c r="AF664" t="str">
        <v>Staff: Emily  Fajardo (ADR Director (English))</v>
      </c>
    </row>
    <row r="665" spans="1:32" x14ac:dyDescent="0.3">
      <c r="A665" t="s">
        <v>732</v>
      </c>
      <c r="B665" s="5">
        <v>90</v>
      </c>
      <c r="C665" s="9">
        <v>1</v>
      </c>
      <c r="D665" s="6">
        <v>1.4054813773717499E-4</v>
      </c>
      <c r="E665" s="7">
        <v>1.26493323963457E-2</v>
      </c>
      <c r="AF665" t="str">
        <v>Staff: Noah Whitehead (Assistant ADR Engineer (English))</v>
      </c>
    </row>
    <row r="666" spans="1:32" x14ac:dyDescent="0.3">
      <c r="A666" t="s">
        <v>733</v>
      </c>
      <c r="B666" s="5">
        <v>90</v>
      </c>
      <c r="C666" s="9">
        <v>1</v>
      </c>
      <c r="D666" s="6">
        <v>1.4054813773717499E-4</v>
      </c>
      <c r="E666" s="7">
        <v>1.26493323963457E-2</v>
      </c>
      <c r="AF666" t="str">
        <v>Staff: Keizou Kusakawa (Chief Director)</v>
      </c>
    </row>
    <row r="667" spans="1:32" x14ac:dyDescent="0.3">
      <c r="A667" t="s">
        <v>744</v>
      </c>
      <c r="B667" s="5">
        <v>90</v>
      </c>
      <c r="C667" s="9">
        <v>1</v>
      </c>
      <c r="D667" s="6">
        <v>1.4054813773717499E-4</v>
      </c>
      <c r="E667" s="7">
        <v>1.26493323963457E-2</v>
      </c>
      <c r="AF667" t="str">
        <v>Staff: Hiroyuki  (Original Creator)</v>
      </c>
    </row>
    <row r="668" spans="1:32" x14ac:dyDescent="0.3">
      <c r="A668" t="s">
        <v>745</v>
      </c>
      <c r="B668" s="5">
        <v>90</v>
      </c>
      <c r="C668" s="9">
        <v>1</v>
      </c>
      <c r="D668" s="6">
        <v>1.4054813773717499E-4</v>
      </c>
      <c r="E668" s="7">
        <v>1.26493323963457E-2</v>
      </c>
      <c r="AF668" t="str">
        <v>Staff: Shingo Tamaki (Director)</v>
      </c>
    </row>
    <row r="669" spans="1:32" x14ac:dyDescent="0.3">
      <c r="A669" t="s">
        <v>746</v>
      </c>
      <c r="B669" s="5">
        <v>90</v>
      </c>
      <c r="C669" s="9">
        <v>1</v>
      </c>
      <c r="D669" s="6">
        <v>1.4054813773717499E-4</v>
      </c>
      <c r="E669" s="7">
        <v>1.26493323963457E-2</v>
      </c>
      <c r="AF669" t="str">
        <v>Staff:  angela (Theme Song Performance (OP))</v>
      </c>
    </row>
    <row r="670" spans="1:32" x14ac:dyDescent="0.3">
      <c r="A670" t="s">
        <v>747</v>
      </c>
      <c r="B670" s="5">
        <v>90</v>
      </c>
      <c r="C670" s="9">
        <v>1</v>
      </c>
      <c r="D670" s="6">
        <v>1.4054813773717499E-4</v>
      </c>
      <c r="E670" s="7">
        <v>1.26493323963457E-2</v>
      </c>
      <c r="AF670" t="str">
        <v>Staff: Sumire Uesaka (Theme Song Performance (ED))</v>
      </c>
    </row>
    <row r="671" spans="1:32" x14ac:dyDescent="0.3">
      <c r="A671" t="s">
        <v>748</v>
      </c>
      <c r="B671" s="5">
        <v>90</v>
      </c>
      <c r="C671" s="9">
        <v>1</v>
      </c>
      <c r="D671" s="6">
        <v>1.4054813773717499E-4</v>
      </c>
      <c r="E671" s="7">
        <v>1.26493323963457E-2</v>
      </c>
      <c r="AF671" t="str">
        <v>Staff: Toshihiko Kojima (Editing)</v>
      </c>
    </row>
    <row r="672" spans="1:32" x14ac:dyDescent="0.3">
      <c r="A672" t="s">
        <v>749</v>
      </c>
      <c r="B672" s="5">
        <v>90</v>
      </c>
      <c r="C672" s="9">
        <v>1</v>
      </c>
      <c r="D672" s="6">
        <v>1.4054813773717499E-4</v>
      </c>
      <c r="E672" s="7">
        <v>1.26493323963457E-2</v>
      </c>
      <c r="AF672" t="str">
        <v>Staff: Tsukasa Ohira (Art Design)</v>
      </c>
    </row>
    <row r="673" spans="1:32" x14ac:dyDescent="0.3">
      <c r="A673" t="s">
        <v>751</v>
      </c>
      <c r="B673" s="5">
        <v>90</v>
      </c>
      <c r="C673" s="9">
        <v>1</v>
      </c>
      <c r="D673" s="6">
        <v>1.4054813773717499E-4</v>
      </c>
      <c r="E673" s="7">
        <v>1.26493323963457E-2</v>
      </c>
      <c r="AF673" t="str">
        <v>Staff: Yasuyuki Itou (Photography)</v>
      </c>
    </row>
    <row r="674" spans="1:32" x14ac:dyDescent="0.3">
      <c r="A674" t="s">
        <v>752</v>
      </c>
      <c r="B674" s="5">
        <v>90</v>
      </c>
      <c r="C674" s="9">
        <v>1</v>
      </c>
      <c r="D674" s="6">
        <v>1.4054813773717499E-4</v>
      </c>
      <c r="E674" s="7">
        <v>1.26493323963457E-2</v>
      </c>
      <c r="AF674" t="str">
        <v>Staff: Takashi Aoshima (Script)</v>
      </c>
    </row>
    <row r="675" spans="1:32" x14ac:dyDescent="0.3">
      <c r="A675" t="s">
        <v>753</v>
      </c>
      <c r="B675" s="5">
        <v>90</v>
      </c>
      <c r="C675" s="9">
        <v>1</v>
      </c>
      <c r="D675" s="6">
        <v>1.4054813773717499E-4</v>
      </c>
      <c r="E675" s="7">
        <v>1.26493323963457E-2</v>
      </c>
      <c r="AF675" t="str">
        <v>Staff: Shuuji Uemura (Color Design)</v>
      </c>
    </row>
    <row r="676" spans="1:32" x14ac:dyDescent="0.3">
      <c r="A676" t="s">
        <v>754</v>
      </c>
      <c r="B676" s="5">
        <v>90</v>
      </c>
      <c r="C676" s="9">
        <v>1</v>
      </c>
      <c r="D676" s="6">
        <v>1.4054813773717499E-4</v>
      </c>
      <c r="E676" s="7">
        <v>1.26493323963457E-2</v>
      </c>
      <c r="AF676" t="str">
        <v>Staff: Shingo Tamaki (Storyboard (OP, eps 1, 2, 10-12))</v>
      </c>
    </row>
    <row r="677" spans="1:32" x14ac:dyDescent="0.3">
      <c r="A677" t="s">
        <v>755</v>
      </c>
      <c r="B677" s="5">
        <v>90</v>
      </c>
      <c r="C677" s="9">
        <v>1</v>
      </c>
      <c r="D677" s="6">
        <v>1.4054813773717499E-4</v>
      </c>
      <c r="E677" s="7">
        <v>1.26493323963457E-2</v>
      </c>
      <c r="AF677" t="str">
        <v>Staff: Takayuki Inagaki (Storyboard (eps 3, 7))</v>
      </c>
    </row>
    <row r="678" spans="1:32" x14ac:dyDescent="0.3">
      <c r="A678" t="s">
        <v>756</v>
      </c>
      <c r="B678" s="5">
        <v>90</v>
      </c>
      <c r="C678" s="9">
        <v>1</v>
      </c>
      <c r="D678" s="6">
        <v>1.4054813773717499E-4</v>
      </c>
      <c r="E678" s="7">
        <v>1.26493323963457E-2</v>
      </c>
      <c r="AF678" t="str">
        <v>Staff: Sorato Shimizu (Storyboard (eps 5, 6, 8))</v>
      </c>
    </row>
    <row r="679" spans="1:32" x14ac:dyDescent="0.3">
      <c r="A679" t="s">
        <v>757</v>
      </c>
      <c r="B679" s="5">
        <v>90</v>
      </c>
      <c r="C679" s="9">
        <v>1</v>
      </c>
      <c r="D679" s="6">
        <v>1.4054813773717499E-4</v>
      </c>
      <c r="E679" s="7">
        <v>1.26493323963457E-2</v>
      </c>
      <c r="AF679" t="str">
        <v>Staff: Shouta Ibata (Storyboard (eps 4, 9))</v>
      </c>
    </row>
    <row r="680" spans="1:32" x14ac:dyDescent="0.3">
      <c r="A680" t="s">
        <v>758</v>
      </c>
      <c r="B680" s="5">
        <v>90</v>
      </c>
      <c r="C680" s="9">
        <v>1</v>
      </c>
      <c r="D680" s="6">
        <v>1.4054813773717499E-4</v>
      </c>
      <c r="E680" s="7">
        <v>1.26493323963457E-2</v>
      </c>
      <c r="AF680" t="str">
        <v>Staff: Takuma Suzuki (Episode Director (ep 7))</v>
      </c>
    </row>
    <row r="681" spans="1:32" x14ac:dyDescent="0.3">
      <c r="A681" t="s">
        <v>759</v>
      </c>
      <c r="B681" s="5">
        <v>90</v>
      </c>
      <c r="C681" s="9">
        <v>1</v>
      </c>
      <c r="D681" s="6">
        <v>1.4054813773717499E-4</v>
      </c>
      <c r="E681" s="7">
        <v>1.26493323963457E-2</v>
      </c>
      <c r="AF681" t="str">
        <v>Staff: Shingo Tamaki (Episode Director (eps 1, 10-12))</v>
      </c>
    </row>
    <row r="682" spans="1:32" x14ac:dyDescent="0.3">
      <c r="A682" t="s">
        <v>760</v>
      </c>
      <c r="B682" s="5">
        <v>90</v>
      </c>
      <c r="C682" s="9">
        <v>1</v>
      </c>
      <c r="D682" s="6">
        <v>1.4054813773717499E-4</v>
      </c>
      <c r="E682" s="7">
        <v>1.26493323963457E-2</v>
      </c>
      <c r="AF682" t="str">
        <v>Staff: Ageha Kochouran (Episode Director (eps 6, 8))</v>
      </c>
    </row>
    <row r="683" spans="1:32" x14ac:dyDescent="0.3">
      <c r="A683" t="s">
        <v>804</v>
      </c>
      <c r="B683" s="5">
        <v>90</v>
      </c>
      <c r="C683" s="9">
        <v>1</v>
      </c>
      <c r="D683" s="6">
        <v>1.4054813773717499E-4</v>
      </c>
      <c r="E683" s="7">
        <v>1.26493323963457E-2</v>
      </c>
      <c r="AF683" t="str">
        <v>Staff: Shouta Ibata (Episode Director (eps 4, 9))</v>
      </c>
    </row>
    <row r="684" spans="1:32" x14ac:dyDescent="0.3">
      <c r="A684" t="s">
        <v>805</v>
      </c>
      <c r="B684" s="5">
        <v>90</v>
      </c>
      <c r="C684" s="9">
        <v>1</v>
      </c>
      <c r="D684" s="6">
        <v>1.4054813773717499E-4</v>
      </c>
      <c r="E684" s="7">
        <v>1.26493323963457E-2</v>
      </c>
      <c r="AF684" t="str">
        <v>Staff: Sorato Shimizu (Episode Director (eps 5, 8))</v>
      </c>
    </row>
    <row r="685" spans="1:32" x14ac:dyDescent="0.3">
      <c r="A685" t="s">
        <v>807</v>
      </c>
      <c r="B685" s="5">
        <v>90</v>
      </c>
      <c r="C685" s="9">
        <v>1</v>
      </c>
      <c r="D685" s="6">
        <v>1.4054813773717499E-4</v>
      </c>
      <c r="E685" s="7">
        <v>1.26493323963457E-2</v>
      </c>
      <c r="AF685" t="str">
        <v>Staff: Tenpei Mishio (Episode Director (eps 2, 10))</v>
      </c>
    </row>
    <row r="686" spans="1:32" x14ac:dyDescent="0.3">
      <c r="A686" t="s">
        <v>808</v>
      </c>
      <c r="B686" s="5">
        <v>90</v>
      </c>
      <c r="C686" s="9">
        <v>1</v>
      </c>
      <c r="D686" s="6">
        <v>1.4054813773717499E-4</v>
      </c>
      <c r="E686" s="7">
        <v>1.26493323963457E-2</v>
      </c>
      <c r="AF686" t="str">
        <v>Staff: Kiyohiko Azuma (Original Creator)</v>
      </c>
    </row>
    <row r="687" spans="1:32" x14ac:dyDescent="0.3">
      <c r="A687" t="s">
        <v>809</v>
      </c>
      <c r="B687" s="5">
        <v>90</v>
      </c>
      <c r="C687" s="9">
        <v>1</v>
      </c>
      <c r="D687" s="6">
        <v>1.4054813773717499E-4</v>
      </c>
      <c r="E687" s="7">
        <v>1.26493323963457E-2</v>
      </c>
      <c r="AF687" t="str">
        <v>Staff: Ichirou Ookouchi (Script (1, 8, 12))</v>
      </c>
    </row>
    <row r="688" spans="1:32" x14ac:dyDescent="0.3">
      <c r="A688" t="s">
        <v>810</v>
      </c>
      <c r="B688" s="5">
        <v>90</v>
      </c>
      <c r="C688" s="9">
        <v>1</v>
      </c>
      <c r="D688" s="6">
        <v>1.4054813773717499E-4</v>
      </c>
      <c r="E688" s="7">
        <v>1.26493323963457E-2</v>
      </c>
      <c r="AF688" t="str">
        <v>Staff: Hiroaki Sakurai (Storyboard  (eps 16, 24))</v>
      </c>
    </row>
    <row r="689" spans="1:32" x14ac:dyDescent="0.3">
      <c r="A689" t="str">
        <f>HYPERLINK("https://anilist.co/staff/95250","Staff: Chuck Huber (Script (English; eps 4-13))")</f>
        <v>Staff: Chuck Huber (Script (English; eps 4-13))</v>
      </c>
      <c r="B689" s="5">
        <v>90</v>
      </c>
      <c r="C689" s="9">
        <v>1</v>
      </c>
      <c r="D689" s="6">
        <v>1.4054813773717499E-4</v>
      </c>
      <c r="E689" s="7">
        <v>1.26493323963457E-2</v>
      </c>
      <c r="AF689" t="str">
        <v>Staff: Hirofumi Suzuki (Key Animation (ep 4, 9))</v>
      </c>
    </row>
    <row r="690" spans="1:32" x14ac:dyDescent="0.3">
      <c r="A690" t="str">
        <f>HYPERLINK("https://anilist.co/staff/95312","Staff: Eric Vale (Script (English; ep 1))")</f>
        <v>Staff: Eric Vale (Script (English; ep 1))</v>
      </c>
      <c r="B690" s="5">
        <v>90</v>
      </c>
      <c r="C690" s="9">
        <v>1</v>
      </c>
      <c r="D690" s="6">
        <v>1.4054813773717499E-4</v>
      </c>
      <c r="E690" s="7">
        <v>1.26493323963457E-2</v>
      </c>
      <c r="AF690" t="str">
        <v>Staff: Takahiro Kishida (Key Animation  (ep 4))</v>
      </c>
    </row>
    <row r="691" spans="1:32" x14ac:dyDescent="0.3">
      <c r="A691" t="str">
        <f>HYPERLINK("https://anilist.co/staff/95661","Staff: Clarine Harp (Producer (English))")</f>
        <v>Staff: Clarine Harp (Producer (English))</v>
      </c>
      <c r="B691" s="5">
        <v>90</v>
      </c>
      <c r="C691" s="9">
        <v>1</v>
      </c>
      <c r="D691" s="6">
        <v>1.4054813773717499E-4</v>
      </c>
      <c r="E691" s="7">
        <v>1.26493323963457E-2</v>
      </c>
      <c r="AF691" t="str">
        <v>Staff: Yasuhisa Katou (Character Design)</v>
      </c>
    </row>
    <row r="692" spans="1:32" x14ac:dyDescent="0.3">
      <c r="A692" t="str">
        <f>HYPERLINK("https://anilist.co/staff/97948","Staff: Ryougo Narita (Original Creator)")</f>
        <v>Staff: Ryougo Narita (Original Creator)</v>
      </c>
      <c r="B692" s="5">
        <v>90</v>
      </c>
      <c r="C692" s="9">
        <v>1</v>
      </c>
      <c r="D692" s="6">
        <v>1.4054813773717499E-4</v>
      </c>
      <c r="E692" s="7">
        <v>1.26493323963457E-2</v>
      </c>
      <c r="AF692" t="str">
        <v>Staff: Yasuhisa Katou (Animation Director  (OP/ED, Ep. 14))</v>
      </c>
    </row>
    <row r="693" spans="1:32" x14ac:dyDescent="0.3">
      <c r="A693" t="str">
        <f>HYPERLINK("https://anilist.co/staff/97949","Staff: Katsumi Enami (Original Character Design)")</f>
        <v>Staff: Katsumi Enami (Original Character Design)</v>
      </c>
      <c r="B693" s="5">
        <v>90</v>
      </c>
      <c r="C693" s="9">
        <v>1</v>
      </c>
      <c r="D693" s="6">
        <v>1.4054813773717499E-4</v>
      </c>
      <c r="E693" s="7">
        <v>1.26493323963457E-2</v>
      </c>
      <c r="AF693" t="str">
        <v>Staff: Masumi Itou (Theme Song Composition)</v>
      </c>
    </row>
    <row r="694" spans="1:32" x14ac:dyDescent="0.3">
      <c r="A694" t="str">
        <f>HYPERLINK("https://anilist.co/staff/100077","Staff: Yuki Kajiura (Theme Song Composition (ED))")</f>
        <v>Staff: Yuki Kajiura (Theme Song Composition (ED))</v>
      </c>
      <c r="B694" s="5">
        <v>90</v>
      </c>
      <c r="C694" s="9">
        <v>1</v>
      </c>
      <c r="D694" s="6">
        <v>1.4054813773717499E-4</v>
      </c>
      <c r="E694" s="7">
        <v>1.26493323963457E-2</v>
      </c>
      <c r="AF694" t="str">
        <v>Staff: Masumi Itou (Theme Song Performance)</v>
      </c>
    </row>
    <row r="695" spans="1:32" x14ac:dyDescent="0.3">
      <c r="A695" t="str">
        <f>HYPERLINK("https://anilist.co/staff/100077","Staff: Yuki Kajiura (Theme Song Lyrics (ED))")</f>
        <v>Staff: Yuki Kajiura (Theme Song Lyrics (ED))</v>
      </c>
      <c r="B695" s="5">
        <v>90</v>
      </c>
      <c r="C695" s="9">
        <v>1</v>
      </c>
      <c r="D695" s="6">
        <v>1.4054813773717499E-4</v>
      </c>
      <c r="E695" s="7">
        <v>1.26493323963457E-2</v>
      </c>
      <c r="AF695" t="str">
        <v>Staff: Yoko Ueno (Theme Song Performance)</v>
      </c>
    </row>
    <row r="696" spans="1:32" x14ac:dyDescent="0.3">
      <c r="A696" t="str">
        <f>HYPERLINK("https://anilist.co/staff/100965","Staff: Makoto Yoshimori (Music)")</f>
        <v>Staff: Makoto Yoshimori (Music)</v>
      </c>
      <c r="B696" s="5">
        <v>90</v>
      </c>
      <c r="C696" s="9">
        <v>1</v>
      </c>
      <c r="D696" s="6">
        <v>1.4054813773717499E-4</v>
      </c>
      <c r="E696" s="7">
        <v>1.26493323963457E-2</v>
      </c>
      <c r="AF696" t="str">
        <v>Staff: Yoko Ueno (Theme Song Composition)</v>
      </c>
    </row>
    <row r="697" spans="1:32" x14ac:dyDescent="0.3">
      <c r="A697" t="str">
        <f>HYPERLINK("https://anilist.co/staff/101403","Staff: Takahiro Kishida (Character Design)")</f>
        <v>Staff: Takahiro Kishida (Character Design)</v>
      </c>
      <c r="B697" s="5">
        <v>90</v>
      </c>
      <c r="C697" s="9">
        <v>1</v>
      </c>
      <c r="D697" s="6">
        <v>1.4054813773717499E-4</v>
      </c>
      <c r="E697" s="7">
        <v>1.26493323963457E-2</v>
      </c>
      <c r="AF697" t="str">
        <v>Staff: Hiromi Katou (Key Animation  (OP))</v>
      </c>
    </row>
    <row r="698" spans="1:32" x14ac:dyDescent="0.3">
      <c r="A698" t="str">
        <f>HYPERLINK("https://anilist.co/staff/101671","Staff: Takahiro Oomori (Storyboard (OP, eps 1, 4, 13))")</f>
        <v>Staff: Takahiro Oomori (Storyboard (OP, eps 1, 4, 13))</v>
      </c>
      <c r="B698" s="5">
        <v>90</v>
      </c>
      <c r="C698" s="9">
        <v>1</v>
      </c>
      <c r="D698" s="6">
        <v>1.4054813773717499E-4</v>
      </c>
      <c r="E698" s="7">
        <v>1.26493323963457E-2</v>
      </c>
      <c r="AF698" t="str">
        <v>Staff: Masaki Kurihara (Music)</v>
      </c>
    </row>
    <row r="699" spans="1:32" x14ac:dyDescent="0.3">
      <c r="A699" t="str">
        <f>HYPERLINK("https://anilist.co/staff/101671","Staff: Takahiro Oomori (Director)")</f>
        <v>Staff: Takahiro Oomori (Director)</v>
      </c>
      <c r="B699" s="5">
        <v>90</v>
      </c>
      <c r="C699" s="9">
        <v>1</v>
      </c>
      <c r="D699" s="6">
        <v>1.4054813773717499E-4</v>
      </c>
      <c r="E699" s="7">
        <v>1.26493323963457E-2</v>
      </c>
      <c r="AF699" t="str">
        <v>Staff: Tarou Maki (Executive Producer)</v>
      </c>
    </row>
    <row r="700" spans="1:32" x14ac:dyDescent="0.3">
      <c r="A700" t="str">
        <f>HYPERLINK("https://anilist.co/staff/101671","Staff: Takahiro Oomori (Episode Director (OP, ep 13))")</f>
        <v>Staff: Takahiro Oomori (Episode Director (OP, ep 13))</v>
      </c>
      <c r="B700" s="5">
        <v>90</v>
      </c>
      <c r="C700" s="9">
        <v>1</v>
      </c>
      <c r="D700" s="6">
        <v>1.4054813773717499E-4</v>
      </c>
      <c r="E700" s="7">
        <v>1.26493323963457E-2</v>
      </c>
      <c r="AF700" t="str">
        <v>Staff: Kazuya Watanabe (Planning)</v>
      </c>
    </row>
    <row r="701" spans="1:32" x14ac:dyDescent="0.3">
      <c r="A701" t="str">
        <f>HYPERLINK("https://anilist.co/staff/101736","Staff: Noboru Takagi (Script (eps 1-13))")</f>
        <v>Staff: Noboru Takagi (Script (eps 1-13))</v>
      </c>
      <c r="B701" s="5">
        <v>90</v>
      </c>
      <c r="C701" s="9">
        <v>1</v>
      </c>
      <c r="D701" s="6">
        <v>1.4054813773717499E-4</v>
      </c>
      <c r="E701" s="7">
        <v>1.26493323963457E-2</v>
      </c>
      <c r="AF701" t="str">
        <v>Staff: Hiroshi Nishikiori (Director)</v>
      </c>
    </row>
    <row r="702" spans="1:32" x14ac:dyDescent="0.3">
      <c r="A702" t="str">
        <f>HYPERLINK("https://anilist.co/staff/101759","Staff: Mamoru Kanbe (Episode Director (eps 6, 11))")</f>
        <v>Staff: Mamoru Kanbe (Episode Director (eps 6, 11))</v>
      </c>
      <c r="B702" s="5">
        <v>90</v>
      </c>
      <c r="C702" s="9">
        <v>1</v>
      </c>
      <c r="D702" s="6">
        <v>1.4054813773717499E-4</v>
      </c>
      <c r="E702" s="7">
        <v>1.26493323963457E-2</v>
      </c>
      <c r="AF702" t="str">
        <v>Staff: Hiroshi Nishikiori (Storyboard (ED, eps 1-3, 7, 9, 17, 23, 26))</v>
      </c>
    </row>
    <row r="703" spans="1:32" x14ac:dyDescent="0.3">
      <c r="A703" t="str">
        <f>HYPERLINK("https://anilist.co/staff/101759","Staff: Mamoru Kanbe (Storyboard (eps 6, 7, 11))")</f>
        <v>Staff: Mamoru Kanbe (Storyboard (eps 6, 7, 11))</v>
      </c>
      <c r="B703" s="5">
        <v>90</v>
      </c>
      <c r="C703" s="9">
        <v>1</v>
      </c>
      <c r="D703" s="6">
        <v>1.4054813773717499E-4</v>
      </c>
      <c r="E703" s="7">
        <v>1.26493323963457E-2</v>
      </c>
      <c r="AF703" t="str">
        <v>Staff: Masashi Ishihama (Animation Director (ep 4))</v>
      </c>
    </row>
    <row r="704" spans="1:32" x14ac:dyDescent="0.3">
      <c r="A704" t="str">
        <f>HYPERLINK("https://anilist.co/staff/103831","Staff: Kazuhiko Seki (Editing)")</f>
        <v>Staff: Kazuhiko Seki (Editing)</v>
      </c>
      <c r="B704" s="5">
        <v>90</v>
      </c>
      <c r="C704" s="9">
        <v>1</v>
      </c>
      <c r="D704" s="6">
        <v>1.4054813773717499E-4</v>
      </c>
      <c r="E704" s="7">
        <v>1.26493323963457E-2</v>
      </c>
      <c r="AF704" t="str">
        <v>Staff: Masashi Ishihama (Key Animation (eps 2, 26))</v>
      </c>
    </row>
    <row r="705" spans="1:32" x14ac:dyDescent="0.3">
      <c r="A705" t="str">
        <f>HYPERLINK("https://anilist.co/staff/105377","Staff: Harume Kosaka (Episode Director (ep 10))")</f>
        <v>Staff: Harume Kosaka (Episode Director (ep 10))</v>
      </c>
      <c r="B705" s="5">
        <v>90</v>
      </c>
      <c r="C705" s="9">
        <v>1</v>
      </c>
      <c r="D705" s="6">
        <v>1.4054813773717499E-4</v>
      </c>
      <c r="E705" s="7">
        <v>1.26493323963457E-2</v>
      </c>
      <c r="AF705" t="str">
        <v>Staff: Aki Hata (Theme Song Lyrics)</v>
      </c>
    </row>
    <row r="706" spans="1:32" x14ac:dyDescent="0.3">
      <c r="A706" t="str">
        <f>HYPERLINK("https://anilist.co/staff/105803","Staff: Akira Itou (Art Director)")</f>
        <v>Staff: Akira Itou (Art Director)</v>
      </c>
      <c r="B706" s="5">
        <v>90</v>
      </c>
      <c r="C706" s="9">
        <v>1</v>
      </c>
      <c r="D706" s="6">
        <v>1.4054813773717499E-4</v>
      </c>
      <c r="E706" s="7">
        <v>1.26493323963457E-2</v>
      </c>
      <c r="AF706" t="str">
        <v>Staff: Yoshinobu Yamakawa (Key Animation (ED))</v>
      </c>
    </row>
    <row r="707" spans="1:32" x14ac:dyDescent="0.3">
      <c r="A707" t="str">
        <f>HYPERLINK("https://anilist.co/staff/106283","Staff: Jun Kawagoe (Episode Director (ep 12))")</f>
        <v>Staff: Jun Kawagoe (Episode Director (ep 12))</v>
      </c>
      <c r="B707" s="5">
        <v>90</v>
      </c>
      <c r="C707" s="9">
        <v>1</v>
      </c>
      <c r="D707" s="6">
        <v>1.4054813773717499E-4</v>
      </c>
      <c r="E707" s="7">
        <v>1.26493323963457E-2</v>
      </c>
      <c r="AF707" t="str">
        <v>Staff: Shinya Hasegawa (Key Animation (ED))</v>
      </c>
    </row>
    <row r="708" spans="1:32" x14ac:dyDescent="0.3">
      <c r="A708" t="str">
        <f>HYPERLINK("https://anilist.co/staff/106630","Staff: Tyler Walker (ADR Director (English))")</f>
        <v>Staff: Tyler Walker (ADR Director (English))</v>
      </c>
      <c r="B708" s="5">
        <v>90</v>
      </c>
      <c r="C708" s="9">
        <v>1</v>
      </c>
      <c r="D708" s="6">
        <v>1.4054813773717499E-4</v>
      </c>
      <c r="E708" s="7">
        <v>1.26493323963457E-2</v>
      </c>
      <c r="AF708" t="str">
        <v>Staff: Ryouichi Ooki (Key Animation  (eps 2, 7, 10))</v>
      </c>
    </row>
    <row r="709" spans="1:32" x14ac:dyDescent="0.3">
      <c r="A709" t="str">
        <f>HYPERLINK("https://anilist.co/staff/145249","Staff: Kiyotaka Oohata (Storyboard (eps 2, 8, 10))")</f>
        <v>Staff: Kiyotaka Oohata (Storyboard (eps 2, 8, 10))</v>
      </c>
      <c r="B709" s="5">
        <v>90</v>
      </c>
      <c r="C709" s="9">
        <v>1</v>
      </c>
      <c r="D709" s="6">
        <v>1.4054813773717499E-4</v>
      </c>
      <c r="E709" s="7">
        <v>1.26493323963457E-2</v>
      </c>
      <c r="AF709" t="str">
        <v>Staff: Miyuki Nakayama (Original Creator)</v>
      </c>
    </row>
    <row r="710" spans="1:32" x14ac:dyDescent="0.3">
      <c r="A710" t="str">
        <f>HYPERLINK("https://anilist.co/staff/145249","Staff: Kiyotaka Oohata (Episode Director (ep 8))")</f>
        <v>Staff: Kiyotaka Oohata (Episode Director (ep 8))</v>
      </c>
      <c r="B710" s="5">
        <v>90</v>
      </c>
      <c r="C710" s="9">
        <v>1</v>
      </c>
      <c r="D710" s="6">
        <v>1.4054813773717499E-4</v>
      </c>
      <c r="E710" s="7">
        <v>1.26493323963457E-2</v>
      </c>
      <c r="AF710" t="str">
        <v>Staff: Ryouji Masuyama (Director)</v>
      </c>
    </row>
    <row r="711" spans="1:32" x14ac:dyDescent="0.3">
      <c r="A711" t="str">
        <f>HYPERLINK("https://anilist.co/staff/105927","Staff: Masaki Tachibana (Director)")</f>
        <v>Staff: Masaki Tachibana (Director)</v>
      </c>
      <c r="B711" s="5">
        <v>90</v>
      </c>
      <c r="C711" s="9">
        <v>1</v>
      </c>
      <c r="D711" s="6">
        <v>1.4054813773717499E-4</v>
      </c>
      <c r="E711" s="7">
        <v>1.26493323963457E-2</v>
      </c>
      <c r="AF711" t="str">
        <v>Staff: Gou Zappa (Series Composition)</v>
      </c>
    </row>
    <row r="712" spans="1:32" x14ac:dyDescent="0.3">
      <c r="A712" t="str">
        <f>HYPERLINK("https://anilist.co/staff/104848","Staff: Satsuki Yoshino (Original Creator)")</f>
        <v>Staff: Satsuki Yoshino (Original Creator)</v>
      </c>
      <c r="B712" s="5">
        <v>90</v>
      </c>
      <c r="C712" s="9">
        <v>1</v>
      </c>
      <c r="D712" s="6">
        <v>1.4054813773717499E-4</v>
      </c>
      <c r="E712" s="7">
        <v>1.26493323963457E-2</v>
      </c>
      <c r="AF712" t="str">
        <v>Staff: Yousuke Okuda (Character Design)</v>
      </c>
    </row>
    <row r="713" spans="1:32" x14ac:dyDescent="0.3">
      <c r="A713" t="str">
        <f>HYPERLINK("https://anilist.co/staff/118956","Staff: SUPER BEAVER (Theme Song Performance (OP))")</f>
        <v>Staff: SUPER BEAVER (Theme Song Performance (OP))</v>
      </c>
      <c r="B713" s="5">
        <v>90</v>
      </c>
      <c r="C713" s="9">
        <v>1</v>
      </c>
      <c r="D713" s="6">
        <v>1.4054813773717499E-4</v>
      </c>
      <c r="E713" s="7">
        <v>1.26493323963457E-2</v>
      </c>
      <c r="AF713" t="str">
        <v>Staff: Takahiro Sasaki (Chief Animation Director (eps 3, 6, 9, 12))</v>
      </c>
    </row>
    <row r="714" spans="1:32" x14ac:dyDescent="0.3">
      <c r="A714" t="str">
        <f>HYPERLINK("https://anilist.co/staff/118957","Staff: NoisyCell (Theme Song Performance (ED))")</f>
        <v>Staff: NoisyCell (Theme Song Performance (ED))</v>
      </c>
      <c r="B714" s="5">
        <v>90</v>
      </c>
      <c r="C714" s="9">
        <v>1</v>
      </c>
      <c r="D714" s="6">
        <v>1.4054813773717499E-4</v>
      </c>
      <c r="E714" s="7">
        <v>1.26493323963457E-2</v>
      </c>
      <c r="AF714" t="str">
        <v>Staff: Mio Inoguchi  (Chief Animation Director (eps 4, 7, 10, 12))</v>
      </c>
    </row>
    <row r="715" spans="1:32" x14ac:dyDescent="0.3">
      <c r="A715" t="str">
        <f>HYPERLINK("https://anilist.co/staff/118958","Staff: Majiro  (Character Design)")</f>
        <v>Staff: Majiro  (Character Design)</v>
      </c>
      <c r="B715" s="5">
        <v>90</v>
      </c>
      <c r="C715" s="9">
        <v>1</v>
      </c>
      <c r="D715" s="6">
        <v>1.4054813773717499E-4</v>
      </c>
      <c r="E715" s="7">
        <v>1.26493323963457E-2</v>
      </c>
      <c r="AF715" t="str">
        <v>Staff: Yousuke Okuda (Chief Animation Director (eps 1, 2, 5, 8, 11, 12))</v>
      </c>
    </row>
    <row r="716" spans="1:32" x14ac:dyDescent="0.3">
      <c r="A716" t="str">
        <f>HYPERLINK("https://anilist.co/staff/103298","Staff: Hiroshi Katou (Art Director)")</f>
        <v>Staff: Hiroshi Katou (Art Director)</v>
      </c>
      <c r="B716" s="5">
        <v>90</v>
      </c>
      <c r="C716" s="9">
        <v>1</v>
      </c>
      <c r="D716" s="6">
        <v>1.4054813773717499E-4</v>
      </c>
      <c r="E716" s="7">
        <v>1.26493323963457E-2</v>
      </c>
      <c r="AF716" t="str">
        <v>Staff: Megumi Katou (Art Director)</v>
      </c>
    </row>
    <row r="717" spans="1:32" x14ac:dyDescent="0.3">
      <c r="A717" t="str">
        <f>HYPERLINK("https://anilist.co/staff/118959","Staff: Izumi Hoki (Art Director)")</f>
        <v>Staff: Izumi Hoki (Art Director)</v>
      </c>
      <c r="B717" s="5">
        <v>90</v>
      </c>
      <c r="C717" s="9">
        <v>1</v>
      </c>
      <c r="D717" s="6">
        <v>1.4054813773717499E-4</v>
      </c>
      <c r="E717" s="7">
        <v>1.26493323963457E-2</v>
      </c>
      <c r="AF717" t="str">
        <v>Staff: Miho Okada (Planning)</v>
      </c>
    </row>
    <row r="718" spans="1:32" x14ac:dyDescent="0.3">
      <c r="A718" t="str">
        <f>HYPERLINK("https://anilist.co/staff/118586","Staff: Kazuhiro Wakabayashi (Sound Director)")</f>
        <v>Staff: Kazuhiro Wakabayashi (Sound Director)</v>
      </c>
      <c r="B718" s="5">
        <v>90</v>
      </c>
      <c r="C718" s="9">
        <v>1</v>
      </c>
      <c r="D718" s="6">
        <v>1.4054813773717499E-4</v>
      </c>
      <c r="E718" s="7">
        <v>1.26493323963457E-2</v>
      </c>
      <c r="AF718" t="str">
        <v>Staff: Norikazu Ootsuka (Planning)</v>
      </c>
    </row>
    <row r="719" spans="1:32" x14ac:dyDescent="0.3">
      <c r="A719" t="str">
        <f>HYPERLINK("https://anilist.co/staff/121275","Staff: Hideki Itou (Animation Director (ep 5))")</f>
        <v>Staff: Hideki Itou (Animation Director (ep 5))</v>
      </c>
      <c r="B719" s="5">
        <v>90</v>
      </c>
      <c r="C719" s="9">
        <v>1</v>
      </c>
      <c r="D719" s="6">
        <v>1.4054813773717499E-4</v>
      </c>
      <c r="E719" s="7">
        <v>1.26493323963457E-2</v>
      </c>
      <c r="AF719" t="str">
        <v>Staff: Mio Inoguchi  (Animation Director (eps 2, 12))</v>
      </c>
    </row>
    <row r="720" spans="1:32" x14ac:dyDescent="0.3">
      <c r="A720" t="str">
        <f>HYPERLINK("https://anilist.co/staff/118958","Staff: Majiro  (Chief Animation Director (eps 1-12))")</f>
        <v>Staff: Majiro  (Chief Animation Director (eps 1-12))</v>
      </c>
      <c r="B720" s="5">
        <v>90</v>
      </c>
      <c r="C720" s="9">
        <v>1</v>
      </c>
      <c r="D720" s="6">
        <v>1.4054813773717499E-4</v>
      </c>
      <c r="E720" s="7">
        <v>1.26493323963457E-2</v>
      </c>
      <c r="AF720" t="str">
        <v>Staff: Takahiro Sasaki (Key Animation (ep 1))</v>
      </c>
    </row>
    <row r="721" spans="1:32" x14ac:dyDescent="0.3">
      <c r="A721" t="str">
        <f>HYPERLINK("https://anilist.co/staff/118958","Staff: Majiro  (Animation Director (eps 1, 5, 12))")</f>
        <v>Staff: Majiro  (Animation Director (eps 1, 5, 12))</v>
      </c>
      <c r="B721" s="5">
        <v>90</v>
      </c>
      <c r="C721" s="9">
        <v>1</v>
      </c>
      <c r="D721" s="6">
        <v>1.4054813773717499E-4</v>
      </c>
      <c r="E721" s="7">
        <v>1.26493323963457E-2</v>
      </c>
      <c r="AF721" t="str">
        <v>Staff: Yousuke Okuda (Assistant Animation Director (ep 10))</v>
      </c>
    </row>
    <row r="722" spans="1:32" x14ac:dyDescent="0.3">
      <c r="A722" t="str">
        <f>HYPERLINK("https://anilist.co/staff/104265","Staff: Shinya Kawatsura (Storyboard (eps 7, 12))")</f>
        <v>Staff: Shinya Kawatsura (Storyboard (eps 7, 12))</v>
      </c>
      <c r="B722" s="5">
        <v>90</v>
      </c>
      <c r="C722" s="9">
        <v>1</v>
      </c>
      <c r="D722" s="6">
        <v>1.4054813773717499E-4</v>
      </c>
      <c r="E722" s="7">
        <v>1.26493323963457E-2</v>
      </c>
      <c r="AF722" t="str">
        <v>Staff: Yousuke Aburaya (Main Animator)</v>
      </c>
    </row>
    <row r="723" spans="1:32" x14ac:dyDescent="0.3">
      <c r="A723" t="str">
        <f>HYPERLINK("https://anilist.co/staff/104265","Staff: Shinya Kawatsura (Episode Director (ep 7))")</f>
        <v>Staff: Shinya Kawatsura (Episode Director (ep 7))</v>
      </c>
      <c r="B723" s="5">
        <v>90</v>
      </c>
      <c r="C723" s="9">
        <v>1</v>
      </c>
      <c r="D723" s="6">
        <v>1.4054813773717499E-4</v>
      </c>
      <c r="E723" s="7">
        <v>1.26493323963457E-2</v>
      </c>
      <c r="AF723" t="str">
        <v>Staff: Gou Zappa (Script (eps 1-4, 6-8, 10-12))</v>
      </c>
    </row>
    <row r="724" spans="1:32" x14ac:dyDescent="0.3">
      <c r="A724" t="str">
        <f>HYPERLINK("https://anilist.co/staff/121793","Staff: Shinya Iino (Episode Director (eps 9, 10))")</f>
        <v>Staff: Shinya Iino (Episode Director (eps 9, 10))</v>
      </c>
      <c r="B724" s="5">
        <v>90</v>
      </c>
      <c r="C724" s="9">
        <v>1</v>
      </c>
      <c r="D724" s="6">
        <v>1.4054813773717499E-4</v>
      </c>
      <c r="E724" s="7">
        <v>1.26493323963457E-2</v>
      </c>
      <c r="AF724" t="str">
        <v>Staff: Akihito Watanabe (Planning)</v>
      </c>
    </row>
    <row r="725" spans="1:32" x14ac:dyDescent="0.3">
      <c r="A725" t="str">
        <f>HYPERLINK("https://anilist.co/staff/123226","Staff: Izuro Ijuuin (Animation Director (eps 10, 12))")</f>
        <v>Staff: Izuro Ijuuin (Animation Director (eps 10, 12))</v>
      </c>
      <c r="B725" s="5">
        <v>90</v>
      </c>
      <c r="C725" s="9">
        <v>1</v>
      </c>
      <c r="D725" s="6">
        <v>1.4054813773717499E-4</v>
      </c>
      <c r="E725" s="7">
        <v>1.26493323963457E-2</v>
      </c>
      <c r="AF725" t="str">
        <v>Staff: Yousuke Okuda (Animation Director (OP, ED))</v>
      </c>
    </row>
    <row r="726" spans="1:32" x14ac:dyDescent="0.3">
      <c r="A726" t="str">
        <f>HYPERLINK("https://anilist.co/staff/123226","Staff: Izuro Ijuuin (Assistant Animation Director (eps 7, 11))")</f>
        <v>Staff: Izuro Ijuuin (Assistant Animation Director (eps 7, 11))</v>
      </c>
      <c r="B726" s="5">
        <v>90</v>
      </c>
      <c r="C726" s="9">
        <v>1</v>
      </c>
      <c r="D726" s="6">
        <v>1.4054813773717499E-4</v>
      </c>
      <c r="E726" s="7">
        <v>1.26493323963457E-2</v>
      </c>
      <c r="AF726" t="str">
        <v>Staff: Yuuki Naitou (Planning)</v>
      </c>
    </row>
    <row r="727" spans="1:32" x14ac:dyDescent="0.3">
      <c r="A727" t="str">
        <f>HYPERLINK("https://anilist.co/staff/119919","Staff: Pierre Sugiura (Series Composition)")</f>
        <v>Staff: Pierre Sugiura (Series Composition)</v>
      </c>
      <c r="B727" s="5">
        <v>90</v>
      </c>
      <c r="C727" s="9">
        <v>1</v>
      </c>
      <c r="D727" s="6">
        <v>1.4054813773717499E-4</v>
      </c>
      <c r="E727" s="7">
        <v>1.26493323963457E-2</v>
      </c>
      <c r="AF727" t="str">
        <v>Staff: Takahiro Sasaki (Animation Director (eps 1, 12))</v>
      </c>
    </row>
    <row r="728" spans="1:32" x14ac:dyDescent="0.3">
      <c r="A728" t="str">
        <f>HYPERLINK("https://anilist.co/staff/119919","Staff: Pierre Sugiura (Script (eps 1-12))")</f>
        <v>Staff: Pierre Sugiura (Script (eps 1-12))</v>
      </c>
      <c r="B728" s="5">
        <v>90</v>
      </c>
      <c r="C728" s="9">
        <v>1</v>
      </c>
      <c r="D728" s="6">
        <v>1.4054813773717499E-4</v>
      </c>
      <c r="E728" s="7">
        <v>1.26493323963457E-2</v>
      </c>
      <c r="AF728" t="str">
        <v>Staff: Namiru Matsumoto (Original Creator)</v>
      </c>
    </row>
    <row r="729" spans="1:32" x14ac:dyDescent="0.3">
      <c r="A729" t="str">
        <f>HYPERLINK("https://anilist.co/staff/128243","Staff: Shun Enokido (Key Animation (ep 1))")</f>
        <v>Staff: Shun Enokido (Key Animation (ep 1))</v>
      </c>
      <c r="B729" s="5">
        <v>90</v>
      </c>
      <c r="C729" s="9">
        <v>1</v>
      </c>
      <c r="D729" s="6">
        <v>1.4054813773717499E-4</v>
      </c>
      <c r="E729" s="7">
        <v>1.26493323963457E-2</v>
      </c>
      <c r="AF729" t="str">
        <v>Staff: Nobuyoshi Nagayama (Director)</v>
      </c>
    </row>
    <row r="730" spans="1:32" x14ac:dyDescent="0.3">
      <c r="A730" t="str">
        <f>HYPERLINK("https://anilist.co/staff/191448","Staff: Hiroyuki Ueno (Producer)")</f>
        <v>Staff: Hiroyuki Ueno (Producer)</v>
      </c>
      <c r="B730" s="5">
        <v>90</v>
      </c>
      <c r="C730" s="9">
        <v>1</v>
      </c>
      <c r="D730" s="6">
        <v>1.4054813773717499E-4</v>
      </c>
      <c r="E730" s="7">
        <v>1.26493323963457E-2</v>
      </c>
      <c r="AF730" t="str">
        <v>Staff: Aoi Yuuki (Theme Song Performance)</v>
      </c>
    </row>
    <row r="731" spans="1:32" x14ac:dyDescent="0.3">
      <c r="A731" t="str">
        <f>HYPERLINK("https://anilist.co/staff/128243","Staff: Shun Enokido (In-Between Animation (ep 6))")</f>
        <v>Staff: Shun Enokido (In-Between Animation (ep 6))</v>
      </c>
      <c r="B731" s="5">
        <v>90</v>
      </c>
      <c r="C731" s="9">
        <v>1</v>
      </c>
      <c r="D731" s="6">
        <v>1.4054813773717499E-4</v>
      </c>
      <c r="E731" s="7">
        <v>1.26493323963457E-2</v>
      </c>
      <c r="AF731" t="str">
        <v>Staff: Shunsuke Takizawa (Music)</v>
      </c>
    </row>
    <row r="732" spans="1:32" x14ac:dyDescent="0.3">
      <c r="A732" t="str">
        <f>HYPERLINK("https://anilist.co/staff/198731","Staff: Marina Sasaki (Producer)")</f>
        <v>Staff: Marina Sasaki (Producer)</v>
      </c>
      <c r="B732" s="5">
        <v>90</v>
      </c>
      <c r="C732" s="9">
        <v>1</v>
      </c>
      <c r="D732" s="6">
        <v>1.4054813773717499E-4</v>
      </c>
      <c r="E732" s="7">
        <v>1.26493323963457E-2</v>
      </c>
      <c r="AF732" t="str">
        <v>Staff: Shouko Yasuda (Character Design)</v>
      </c>
    </row>
    <row r="733" spans="1:32" x14ac:dyDescent="0.3">
      <c r="A733" t="str">
        <f>HYPERLINK("https://anilist.co/staff/197429","Staff: Hiroshi Tashou (Production)")</f>
        <v>Staff: Hiroshi Tashou (Production)</v>
      </c>
      <c r="B733" s="5">
        <v>90</v>
      </c>
      <c r="C733" s="9">
        <v>1</v>
      </c>
      <c r="D733" s="6">
        <v>1.4054813773717499E-4</v>
      </c>
      <c r="E733" s="7">
        <v>1.26493323963457E-2</v>
      </c>
      <c r="AF733" t="str">
        <v>Staff: Chikako Yokota (Sound Director)</v>
      </c>
    </row>
    <row r="734" spans="1:32" x14ac:dyDescent="0.3">
      <c r="A734" t="str">
        <f>HYPERLINK("https://anilist.co/staff/95251","Staff: John Burgmeier (Script (English))")</f>
        <v>Staff: John Burgmeier (Script (English))</v>
      </c>
      <c r="B734" s="5">
        <v>90</v>
      </c>
      <c r="C734" s="9">
        <v>1</v>
      </c>
      <c r="D734" s="6">
        <v>1.4054813773717499E-4</v>
      </c>
      <c r="E734" s="7">
        <v>1.26493323963457E-2</v>
      </c>
      <c r="AF734" t="str">
        <v>Staff: Tomoyasu Ookubo (Script (eps 3, 6, 9, 11))</v>
      </c>
    </row>
    <row r="735" spans="1:32" x14ac:dyDescent="0.3">
      <c r="A735" t="str">
        <f>HYPERLINK("https://anilist.co/staff/95313","Staff: Caitlin Glass (ADR Director (English))")</f>
        <v>Staff: Caitlin Glass (ADR Director (English))</v>
      </c>
      <c r="B735" s="5">
        <v>90</v>
      </c>
      <c r="C735" s="9">
        <v>1</v>
      </c>
      <c r="D735" s="6">
        <v>1.4054813773717499E-4</v>
      </c>
      <c r="E735" s="7">
        <v>1.26493323963457E-2</v>
      </c>
      <c r="AF735" t="str">
        <v>Staff: Hideki Shirane (Script (eps 1, 5, 10))</v>
      </c>
    </row>
    <row r="736" spans="1:32" x14ac:dyDescent="0.3">
      <c r="A736" t="str">
        <f>HYPERLINK("https://anilist.co/staff/96874","Staff: Hiromu Arakawa (Original Creator)")</f>
        <v>Staff: Hiromu Arakawa (Original Creator)</v>
      </c>
      <c r="B736" s="5">
        <v>90</v>
      </c>
      <c r="C736" s="9">
        <v>1</v>
      </c>
      <c r="D736" s="6">
        <v>1.4054813773717499E-4</v>
      </c>
      <c r="E736" s="7">
        <v>1.26493323963457E-2</v>
      </c>
      <c r="AF736" t="str">
        <v>Staff: Noboru Kimura (Script (eps 4, 7))</v>
      </c>
    </row>
    <row r="737" spans="1:32" x14ac:dyDescent="0.3">
      <c r="A737" t="str">
        <f>HYPERLINK("https://anilist.co/staff/97701","Staff: Hiroshi Oonogi (Script (eps 1-3, 7-9, 12, 14, 17, 19, 30, 32, 40, 46, 53, 55, 56, 58-64))")</f>
        <v>Staff: Hiroshi Oonogi (Script (eps 1-3, 7-9, 12, 14, 17, 19, 30, 32, 40, 46, 53, 55, 56, 58-64))</v>
      </c>
      <c r="B737" s="5">
        <v>90</v>
      </c>
      <c r="C737" s="9">
        <v>1</v>
      </c>
      <c r="D737" s="6">
        <v>1.4054813773717499E-4</v>
      </c>
      <c r="E737" s="7">
        <v>1.26493323963457E-2</v>
      </c>
      <c r="AF737" t="str">
        <v>Staff: Yasunori Yamada (Script (eps 2, 8))</v>
      </c>
    </row>
    <row r="738" spans="1:32" x14ac:dyDescent="0.3">
      <c r="A738" t="str">
        <f>HYPERLINK("https://anilist.co/staff/100110","Staff: Shouko Nakagawa (Theme Song Performance (ED5))")</f>
        <v>Staff: Shouko Nakagawa (Theme Song Performance (ED5))</v>
      </c>
      <c r="B738" s="5">
        <v>90</v>
      </c>
      <c r="C738" s="9">
        <v>1</v>
      </c>
      <c r="D738" s="6">
        <v>1.4054813773717499E-4</v>
      </c>
      <c r="E738" s="7">
        <v>1.26493323963457E-2</v>
      </c>
      <c r="AF738" t="str">
        <v>Staff: Nobuyoshi Nagayama (Storyboard (eps 1, 2))</v>
      </c>
    </row>
    <row r="739" spans="1:32" x14ac:dyDescent="0.3">
      <c r="A739" t="str">
        <f>HYPERLINK("https://anilist.co/staff/100287","Staff: yui  (Theme Song Composition (OP1))")</f>
        <v>Staff: yui  (Theme Song Composition (OP1))</v>
      </c>
      <c r="B739" s="5">
        <v>90</v>
      </c>
      <c r="C739" s="9">
        <v>1</v>
      </c>
      <c r="D739" s="6">
        <v>1.4054813773717499E-4</v>
      </c>
      <c r="E739" s="7">
        <v>1.26493323963457E-2</v>
      </c>
      <c r="AF739" t="str">
        <v>Staff: Hidetoshi Takahashi (Episode Director (eps 4, 8))</v>
      </c>
    </row>
    <row r="740" spans="1:32" x14ac:dyDescent="0.3">
      <c r="A740" t="str">
        <f>HYPERLINK("https://anilist.co/staff/100287","Staff: yui  (Theme Song Lyrics (OP1))")</f>
        <v>Staff: yui  (Theme Song Lyrics (OP1))</v>
      </c>
      <c r="B740" s="5">
        <v>90</v>
      </c>
      <c r="C740" s="9">
        <v>1</v>
      </c>
      <c r="D740" s="6">
        <v>1.4054813773717499E-4</v>
      </c>
      <c r="E740" s="7">
        <v>1.26493323963457E-2</v>
      </c>
      <c r="AF740" t="str">
        <v>Staff: Nobuyoshi Nagayama (Episode Director (eps 1, 11))</v>
      </c>
    </row>
    <row r="741" spans="1:32" x14ac:dyDescent="0.3">
      <c r="A741" t="str">
        <f>HYPERLINK("https://anilist.co/staff/100287","Staff: yui  (Theme Song Performance (OP1))")</f>
        <v>Staff: yui  (Theme Song Performance (OP1))</v>
      </c>
      <c r="B741" s="5">
        <v>90</v>
      </c>
      <c r="C741" s="9">
        <v>1</v>
      </c>
      <c r="D741" s="6">
        <v>1.4054813773717499E-4</v>
      </c>
      <c r="E741" s="7">
        <v>1.26493323963457E-2</v>
      </c>
      <c r="AF741" t="str">
        <v>Staff: Hidetoshi Takahashi (Storyboard (eps 4, 8))</v>
      </c>
    </row>
    <row r="742" spans="1:32" x14ac:dyDescent="0.3">
      <c r="A742" t="str">
        <f>HYPERLINK("https://anilist.co/staff/100323","Staff: Yukiko Ban (Key Animation (eps 1, 20))")</f>
        <v>Staff: Yukiko Ban (Key Animation (eps 1, 20))</v>
      </c>
      <c r="B742" s="5">
        <v>90</v>
      </c>
      <c r="C742" s="9">
        <v>1</v>
      </c>
      <c r="D742" s="6">
        <v>1.4054813773717499E-4</v>
      </c>
      <c r="E742" s="7">
        <v>1.26493323963457E-2</v>
      </c>
      <c r="AF742" t="str">
        <v>Staff: Ryousuke Shibuya (Episode Director (ep 9))</v>
      </c>
    </row>
    <row r="743" spans="1:32" x14ac:dyDescent="0.3">
      <c r="A743" t="str">
        <f>HYPERLINK("https://anilist.co/staff/100956","Staff: Akira Amemiya (Key Animation (ep 33))")</f>
        <v>Staff: Akira Amemiya (Key Animation (ep 33))</v>
      </c>
      <c r="B743" s="5">
        <v>90</v>
      </c>
      <c r="C743" s="9">
        <v>1</v>
      </c>
      <c r="D743" s="6">
        <v>1.4054813773717499E-4</v>
      </c>
      <c r="E743" s="7">
        <v>1.26493323963457E-2</v>
      </c>
      <c r="AF743" t="str">
        <v>Staff: Ryousuke Shibuya (Storyboard (eps 3, 7, 9, 11))</v>
      </c>
    </row>
    <row r="744" spans="1:32" x14ac:dyDescent="0.3">
      <c r="A744" t="str">
        <f>HYPERLINK("https://anilist.co/staff/101012","Staff: Satoshi Ishino (Animation Director (eps 10, 52, 60, 62, 64))")</f>
        <v>Staff: Satoshi Ishino (Animation Director (eps 10, 52, 60, 62, 64))</v>
      </c>
      <c r="B744" s="5">
        <v>90</v>
      </c>
      <c r="C744" s="9">
        <v>1</v>
      </c>
      <c r="D744" s="6">
        <v>1.4054813773717499E-4</v>
      </c>
      <c r="E744" s="7">
        <v>1.26493323963457E-2</v>
      </c>
      <c r="AF744" t="str">
        <v>Staff: Keiichi Matsuki (Storyboard (ep 3))</v>
      </c>
    </row>
    <row r="745" spans="1:32" x14ac:dyDescent="0.3">
      <c r="A745" t="str">
        <f>HYPERLINK("https://anilist.co/staff/101232","Staff: Yasuhiro Irie (Storyboard (OP1, ED2, ED4, ED5, eps 1, 2, 5, 8, 63, 64))")</f>
        <v>Staff: Yasuhiro Irie (Storyboard (OP1, ED2, ED4, ED5, eps 1, 2, 5, 8, 63, 64))</v>
      </c>
      <c r="B745" s="5">
        <v>90</v>
      </c>
      <c r="C745" s="9">
        <v>1</v>
      </c>
      <c r="D745" s="6">
        <v>1.4054813773717499E-4</v>
      </c>
      <c r="E745" s="7">
        <v>1.26493323963457E-2</v>
      </c>
      <c r="AF745" t="str">
        <v>Staff: Junnosuke Nishio (Animation Director (eps 3, 8))</v>
      </c>
    </row>
    <row r="746" spans="1:32" x14ac:dyDescent="0.3">
      <c r="A746" t="str">
        <f>HYPERLINK("https://anilist.co/staff/101232","Staff: Yasuhiro Irie (Director)")</f>
        <v>Staff: Yasuhiro Irie (Director)</v>
      </c>
      <c r="B746" s="5">
        <v>90</v>
      </c>
      <c r="C746" s="9">
        <v>1</v>
      </c>
      <c r="D746" s="6">
        <v>1.4054813773717499E-4</v>
      </c>
      <c r="E746" s="7">
        <v>1.26493323963457E-2</v>
      </c>
      <c r="AF746" t="str">
        <v>Staff: Kazuya Saitou (Animation Director (ep 1))</v>
      </c>
    </row>
    <row r="747" spans="1:32" x14ac:dyDescent="0.3">
      <c r="A747" t="str">
        <f>HYPERLINK("https://anilist.co/staff/101232","Staff: Yasuhiro Irie (Episode Director (OP1, ep 64))")</f>
        <v>Staff: Yasuhiro Irie (Episode Director (OP1, ep 64))</v>
      </c>
      <c r="B747" s="5">
        <v>90</v>
      </c>
      <c r="C747" s="9">
        <v>1</v>
      </c>
      <c r="D747" s="6">
        <v>1.4054813773717499E-4</v>
      </c>
      <c r="E747" s="7">
        <v>1.26493323963457E-2</v>
      </c>
      <c r="AF747" t="str">
        <v>Staff: Kazuyuki Ikai (Animation Director (eps 1, 2))</v>
      </c>
    </row>
    <row r="748" spans="1:32" x14ac:dyDescent="0.3">
      <c r="A748" t="str">
        <f>HYPERLINK("https://anilist.co/staff/101519","Staff: Masahiko Minami (Planning)")</f>
        <v>Staff: Masahiko Minami (Planning)</v>
      </c>
      <c r="B748" s="5">
        <v>90</v>
      </c>
      <c r="C748" s="9">
        <v>1</v>
      </c>
      <c r="D748" s="6">
        <v>1.4054813773717499E-4</v>
      </c>
      <c r="E748" s="7">
        <v>1.26493323963457E-2</v>
      </c>
      <c r="AF748" t="str">
        <v>Staff: Reiko Satou (Animation Director (eps 5, 6, 9, 10))</v>
      </c>
    </row>
    <row r="749" spans="1:32" x14ac:dyDescent="0.3">
      <c r="A749" t="str">
        <f>HYPERLINK("https://anilist.co/staff/101785","Staff: Masayuki Sakoi (Storyboard  (ep 7))")</f>
        <v>Staff: Masayuki Sakoi (Storyboard  (ep 7))</v>
      </c>
      <c r="B749" s="5">
        <v>90</v>
      </c>
      <c r="C749" s="9">
        <v>1</v>
      </c>
      <c r="D749" s="6">
        <v>1.4054813773717499E-4</v>
      </c>
      <c r="E749" s="7">
        <v>1.26493323963457E-2</v>
      </c>
      <c r="AF749" t="str">
        <v>Staff: Katsuya  Yoshii (Animation Director (ep 1))</v>
      </c>
    </row>
    <row r="750" spans="1:32" x14ac:dyDescent="0.3">
      <c r="A750" t="str">
        <f>HYPERLINK("https://anilist.co/staff/101801","Staff: Yutaka Nakamura (Key Animation (OP2))")</f>
        <v>Staff: Yutaka Nakamura (Key Animation (OP2))</v>
      </c>
      <c r="B750" s="5">
        <v>90</v>
      </c>
      <c r="C750" s="9">
        <v>1</v>
      </c>
      <c r="D750" s="6">
        <v>1.4054813773717499E-4</v>
      </c>
      <c r="E750" s="7">
        <v>1.26493323963457E-2</v>
      </c>
      <c r="AF750" t="str">
        <v>Staff: Yuriko Ikehara (Animation Director (eps 1, 6, 8-11))</v>
      </c>
    </row>
    <row r="751" spans="1:32" x14ac:dyDescent="0.3">
      <c r="A751" t="str">
        <f>HYPERLINK("https://anilist.co/staff/101885","Staff: Akira Takada (Key Animation (ep 23))")</f>
        <v>Staff: Akira Takada (Key Animation (ep 23))</v>
      </c>
      <c r="B751" s="5">
        <v>90</v>
      </c>
      <c r="C751" s="9">
        <v>1</v>
      </c>
      <c r="D751" s="6">
        <v>1.4054813773717499E-4</v>
      </c>
      <c r="E751" s="7">
        <v>1.26493323963457E-2</v>
      </c>
      <c r="AF751" t="str">
        <v>Staff: Kenji Kondou (Animation Director (ep 3))</v>
      </c>
    </row>
    <row r="752" spans="1:32" x14ac:dyDescent="0.3">
      <c r="A752" t="str">
        <f>HYPERLINK("https://anilist.co/staff/102291","Staff: Akira Senju (Music)")</f>
        <v>Staff: Akira Senju (Music)</v>
      </c>
      <c r="B752" s="5">
        <v>90</v>
      </c>
      <c r="C752" s="9">
        <v>1</v>
      </c>
      <c r="D752" s="6">
        <v>1.4054813773717499E-4</v>
      </c>
      <c r="E752" s="7">
        <v>1.26493323963457E-2</v>
      </c>
      <c r="AF752" t="str">
        <v>Staff: Tadataka Kawasaki (Original Creator)</v>
      </c>
    </row>
    <row r="753" spans="1:32" x14ac:dyDescent="0.3">
      <c r="A753" t="str">
        <f>HYPERLINK("https://anilist.co/staff/102420","Staff: Ryouchimo  (Key Animation (ep 23))")</f>
        <v>Staff: Ryouchimo  (Key Animation (ep 23))</v>
      </c>
      <c r="B753" s="5">
        <v>90</v>
      </c>
      <c r="C753" s="9">
        <v>1</v>
      </c>
      <c r="D753" s="6">
        <v>1.4054813773717499E-4</v>
      </c>
      <c r="E753" s="7">
        <v>1.26493323963457E-2</v>
      </c>
      <c r="AF753" t="str">
        <v>Staff: Mayuko Matsumoto (Character Design)</v>
      </c>
    </row>
    <row r="754" spans="1:32" x14ac:dyDescent="0.3">
      <c r="A754" t="str">
        <f>HYPERLINK("https://anilist.co/staff/102539","Staff:  SID (Theme Song Performance (OP5))")</f>
        <v>Staff:  SID (Theme Song Performance (OP5))</v>
      </c>
      <c r="B754" s="5">
        <v>90</v>
      </c>
      <c r="C754" s="9">
        <v>1</v>
      </c>
      <c r="D754" s="6">
        <v>1.4054813773717499E-4</v>
      </c>
      <c r="E754" s="7">
        <v>1.26493323963457E-2</v>
      </c>
      <c r="AF754" t="str">
        <v>Staff: Takayuki Inagaki (Director)</v>
      </c>
    </row>
    <row r="755" spans="1:32" x14ac:dyDescent="0.3">
      <c r="A755" t="str">
        <f>HYPERLINK("https://anilist.co/staff/102539","Staff:  SID (Theme Song Arrangement (OP5))")</f>
        <v>Staff:  SID (Theme Song Arrangement (OP5))</v>
      </c>
      <c r="B755" s="5">
        <v>90</v>
      </c>
      <c r="C755" s="9">
        <v>1</v>
      </c>
      <c r="D755" s="6">
        <v>1.4054813773717499E-4</v>
      </c>
      <c r="E755" s="7">
        <v>1.26493323963457E-2</v>
      </c>
      <c r="AF755" t="str">
        <v>Staff: Takayuki Inagaki (Series Composition)</v>
      </c>
    </row>
    <row r="756" spans="1:32" x14ac:dyDescent="0.3">
      <c r="A756" t="str">
        <f>HYPERLINK("https://anilist.co/staff/102108","Staff: Kenji Inoue (Original Story)")</f>
        <v>Staff: Kenji Inoue (Original Story)</v>
      </c>
      <c r="B756" s="5">
        <v>90</v>
      </c>
      <c r="C756" s="9">
        <v>1</v>
      </c>
      <c r="D756" s="6">
        <v>1.4054813773717499E-4</v>
      </c>
      <c r="E756" s="7">
        <v>1.26493323963457E-2</v>
      </c>
      <c r="AF756" t="str">
        <v>Staff: Yumika Ogawa (Color Design)</v>
      </c>
    </row>
    <row r="757" spans="1:32" x14ac:dyDescent="0.3">
      <c r="A757" t="str">
        <f>HYPERLINK("https://anilist.co/staff/111441","Staff: Kimitake Yoshioka (Original Character Design)")</f>
        <v>Staff: Kimitake Yoshioka (Original Character Design)</v>
      </c>
      <c r="B757" s="5">
        <v>90</v>
      </c>
      <c r="C757" s="9">
        <v>1</v>
      </c>
      <c r="D757" s="6">
        <v>1.4054813773717499E-4</v>
      </c>
      <c r="E757" s="7">
        <v>1.26493323963457E-2</v>
      </c>
      <c r="AF757" t="str">
        <v>Staff: Takashi Tachizaki (Producer)</v>
      </c>
    </row>
    <row r="758" spans="1:32" x14ac:dyDescent="0.3">
      <c r="A758" t="str">
        <f>HYPERLINK("https://anilist.co/staff/100152","Staff: Shinji Takamatsu (Script (eps 1-8, 10-12))")</f>
        <v>Staff: Shinji Takamatsu (Script (eps 1-8, 10-12))</v>
      </c>
      <c r="B758" s="5">
        <v>90</v>
      </c>
      <c r="C758" s="9">
        <v>1</v>
      </c>
      <c r="D758" s="6">
        <v>1.4054813773717499E-4</v>
      </c>
      <c r="E758" s="7">
        <v>1.26493323963457E-2</v>
      </c>
      <c r="AF758" t="str">
        <v>Staff: Naoyoshi Kusaka (Episode Director (ep 7))</v>
      </c>
    </row>
    <row r="759" spans="1:32" x14ac:dyDescent="0.3">
      <c r="A759" t="str">
        <f>HYPERLINK("https://anilist.co/staff/120044","Staff: Hideoki Kusama (Character Design)")</f>
        <v>Staff: Hideoki Kusama (Character Design)</v>
      </c>
      <c r="B759" s="5">
        <v>90</v>
      </c>
      <c r="C759" s="9">
        <v>1</v>
      </c>
      <c r="D759" s="6">
        <v>1.4054813773717499E-4</v>
      </c>
      <c r="E759" s="7">
        <v>1.26493323963457E-2</v>
      </c>
      <c r="AF759" t="str">
        <v>Staff: Yoshino Honda (Storyboard (ep 5))</v>
      </c>
    </row>
    <row r="760" spans="1:32" x14ac:dyDescent="0.3">
      <c r="A760" t="str">
        <f>HYPERLINK("https://anilist.co/staff/153684","Staff: Hiroyuki Ochi  (Storyboard (ep 6))")</f>
        <v>Staff: Hiroyuki Ochi  (Storyboard (ep 6))</v>
      </c>
      <c r="B760" s="5">
        <v>90</v>
      </c>
      <c r="C760" s="9">
        <v>1</v>
      </c>
      <c r="D760" s="6">
        <v>1.4054813773717499E-4</v>
      </c>
      <c r="E760" s="7">
        <v>1.26493323963457E-2</v>
      </c>
      <c r="AF760" t="str">
        <v>Staff: Takayuki Inagaki (Storyboard (eps 1, 2, 4, 8, 9, 12))</v>
      </c>
    </row>
    <row r="761" spans="1:32" x14ac:dyDescent="0.3">
      <c r="A761" t="str">
        <f>HYPERLINK("https://anilist.co/staff/102530","Staff: Yoshihiro Takamoto (Storyboard (ep 5))")</f>
        <v>Staff: Yoshihiro Takamoto (Storyboard (ep 5))</v>
      </c>
      <c r="B761" s="5">
        <v>90</v>
      </c>
      <c r="C761" s="9">
        <v>1</v>
      </c>
      <c r="D761" s="6">
        <v>1.4054813773717499E-4</v>
      </c>
      <c r="E761" s="7">
        <v>1.26493323963457E-2</v>
      </c>
      <c r="AF761" t="str">
        <v>Staff: Takayuki Yamaguchi (Sound Director)</v>
      </c>
    </row>
    <row r="762" spans="1:32" x14ac:dyDescent="0.3">
      <c r="A762" t="str">
        <f>HYPERLINK("https://anilist.co/staff/103340","Staff: Youichi Ueda (Storyboard (eps 8, 12))")</f>
        <v>Staff: Youichi Ueda (Storyboard (eps 8, 12))</v>
      </c>
      <c r="B762" s="5">
        <v>90</v>
      </c>
      <c r="C762" s="9">
        <v>1</v>
      </c>
      <c r="D762" s="6">
        <v>1.4054813773717499E-4</v>
      </c>
      <c r="E762" s="7">
        <v>1.26493323963457E-2</v>
      </c>
      <c r="AF762" t="str">
        <v>Staff: Naoyoshi Kusaka (Storyboard (eps 7, 10))</v>
      </c>
    </row>
    <row r="763" spans="1:32" x14ac:dyDescent="0.3">
      <c r="A763" t="str">
        <f>HYPERLINK("https://anilist.co/staff/157061","Staff: Atsuko Tonomizu (Episode Director (eps 2, 9))")</f>
        <v>Staff: Atsuko Tonomizu (Episode Director (eps 2, 9))</v>
      </c>
      <c r="B763" s="5">
        <v>90</v>
      </c>
      <c r="C763" s="9">
        <v>1</v>
      </c>
      <c r="D763" s="6">
        <v>1.4054813773717499E-4</v>
      </c>
      <c r="E763" s="7">
        <v>1.26493323963457E-2</v>
      </c>
      <c r="AF763" t="str">
        <v>Staff: Toshikatsu Tokoro (Episode Director (ep 9))</v>
      </c>
    </row>
    <row r="764" spans="1:32" x14ac:dyDescent="0.3">
      <c r="A764" t="str">
        <f>HYPERLINK("https://anilist.co/staff/148446","Staff: Hiroshi Kugimiya (Storyboard (ep 4))")</f>
        <v>Staff: Hiroshi Kugimiya (Storyboard (ep 4))</v>
      </c>
      <c r="B764" s="5">
        <v>90</v>
      </c>
      <c r="C764" s="9">
        <v>1</v>
      </c>
      <c r="D764" s="6">
        <v>1.4054813773717499E-4</v>
      </c>
      <c r="E764" s="7">
        <v>1.26493323963457E-2</v>
      </c>
      <c r="AF764" t="str">
        <v>Staff: Hye-Jin Seo (Episode Director (ep 2))</v>
      </c>
    </row>
    <row r="765" spans="1:32" x14ac:dyDescent="0.3">
      <c r="A765" t="str">
        <f>HYPERLINK("https://anilist.co/staff/129076","Staff: Ryouta Kawahara (Episode Director (ep 4))")</f>
        <v>Staff: Ryouta Kawahara (Episode Director (ep 4))</v>
      </c>
      <c r="B765" s="5">
        <v>90</v>
      </c>
      <c r="C765" s="9">
        <v>1</v>
      </c>
      <c r="D765" s="6">
        <v>1.4054813773717499E-4</v>
      </c>
      <c r="E765" s="7">
        <v>1.26493323963457E-2</v>
      </c>
      <c r="AF765" t="str">
        <v>Staff: Fumitoshi Oizaki (Storyboard (eps 6, 8))</v>
      </c>
    </row>
    <row r="766" spans="1:32" x14ac:dyDescent="0.3">
      <c r="A766" t="str">
        <f>HYPERLINK("https://anilist.co/staff/137937","Staff: Masaki Utsunomiya (Assistant Episode Director (ep 3))")</f>
        <v>Staff: Masaki Utsunomiya (Assistant Episode Director (ep 3))</v>
      </c>
      <c r="B766" s="5">
        <v>90</v>
      </c>
      <c r="C766" s="9">
        <v>1</v>
      </c>
      <c r="D766" s="6">
        <v>1.4054813773717499E-4</v>
      </c>
      <c r="E766" s="7">
        <v>1.26493323963457E-2</v>
      </c>
      <c r="AF766" t="str">
        <v>Staff: Yoshito Hata (Episode Director (ep 5))</v>
      </c>
    </row>
    <row r="767" spans="1:32" x14ac:dyDescent="0.3">
      <c r="A767" t="str">
        <f>HYPERLINK("https://anilist.co/staff/136442","Staff: Nanako  Shimazaki (Episode Director (ep 10))")</f>
        <v>Staff: Nanako  Shimazaki (Episode Director (ep 10))</v>
      </c>
      <c r="B767" s="5">
        <v>90</v>
      </c>
      <c r="C767" s="9">
        <v>1</v>
      </c>
      <c r="D767" s="6">
        <v>1.4054813773717499E-4</v>
      </c>
      <c r="E767" s="7">
        <v>1.26493323963457E-2</v>
      </c>
      <c r="AF767" t="str">
        <v>Staff: Takayuki Inagaki (Episode Director (eps 1, 4, 6, 12))</v>
      </c>
    </row>
    <row r="768" spans="1:32" x14ac:dyDescent="0.3">
      <c r="A768" t="str">
        <f>HYPERLINK("https://anilist.co/staff/121401","Staff: Miyako Nishida (Animation Director (ep 5))")</f>
        <v>Staff: Miyako Nishida (Animation Director (ep 5))</v>
      </c>
      <c r="B768" s="5">
        <v>90</v>
      </c>
      <c r="C768" s="9">
        <v>1</v>
      </c>
      <c r="D768" s="6">
        <v>1.4054813773717499E-4</v>
      </c>
      <c r="E768" s="7">
        <v>1.26493323963457E-2</v>
      </c>
      <c r="AF768" t="str">
        <v>Staff: Mayuko Matsumoto (Chief Animation Director (eps 1, 2, 9, 10, 12))</v>
      </c>
    </row>
    <row r="769" spans="1:32" x14ac:dyDescent="0.3">
      <c r="A769" t="str">
        <f>HYPERLINK("https://anilist.co/staff/151511","Staff: Yoshihisa Matsumoto (Episode Director (eps 5, 8))")</f>
        <v>Staff: Yoshihisa Matsumoto (Episode Director (eps 5, 8))</v>
      </c>
      <c r="B769" s="5">
        <v>90</v>
      </c>
      <c r="C769" s="9">
        <v>1</v>
      </c>
      <c r="D769" s="6">
        <v>1.4054813773717499E-4</v>
      </c>
      <c r="E769" s="7">
        <v>1.26493323963457E-2</v>
      </c>
      <c r="AF769" t="str">
        <v>Staff: Naomi Ide (Chief Animation Director (ep 9, 12))</v>
      </c>
    </row>
    <row r="770" spans="1:32" x14ac:dyDescent="0.3">
      <c r="A770" t="str">
        <f>HYPERLINK("https://anilist.co/staff/102108","Staff: Kenji Inoue (Script (ep 9))")</f>
        <v>Staff: Kenji Inoue (Script (ep 9))</v>
      </c>
      <c r="B770" s="5">
        <v>90</v>
      </c>
      <c r="C770" s="9">
        <v>1</v>
      </c>
      <c r="D770" s="6">
        <v>1.4054813773717499E-4</v>
      </c>
      <c r="E770" s="7">
        <v>1.26493323963457E-2</v>
      </c>
      <c r="AF770" t="str">
        <v>Staff: Tsuyoshi Kimura (Storyboard (ep 11))</v>
      </c>
    </row>
    <row r="771" spans="1:32" x14ac:dyDescent="0.3">
      <c r="A771" t="str">
        <f>HYPERLINK("https://anilist.co/staff/198109","Staff: Kenji Kumamoto (Storyboard (ep 3))")</f>
        <v>Staff: Kenji Kumamoto (Storyboard (ep 3))</v>
      </c>
      <c r="B771" s="5">
        <v>90</v>
      </c>
      <c r="C771" s="9">
        <v>1</v>
      </c>
      <c r="D771" s="6">
        <v>1.4054813773717499E-4</v>
      </c>
      <c r="E771" s="7">
        <v>1.26493323963457E-2</v>
      </c>
      <c r="AF771" t="str">
        <v>Staff: Hiroshi Kubo (Episode Director (ep 10))</v>
      </c>
    </row>
    <row r="772" spans="1:32" x14ac:dyDescent="0.3">
      <c r="A772" t="str">
        <f>HYPERLINK("https://anilist.co/staff/141678","Staff: Miyana Okita (Storyboard (ep 11))")</f>
        <v>Staff: Miyana Okita (Storyboard (ep 11))</v>
      </c>
      <c r="B772" s="5">
        <v>90</v>
      </c>
      <c r="C772" s="9">
        <v>1</v>
      </c>
      <c r="D772" s="6">
        <v>1.4054813773717499E-4</v>
      </c>
      <c r="E772" s="7">
        <v>1.26493323963457E-2</v>
      </c>
      <c r="AF772" t="str">
        <v>Staff: Nozomu Kamiya (Episode Director (ep 8))</v>
      </c>
    </row>
    <row r="773" spans="1:32" x14ac:dyDescent="0.3">
      <c r="A773" t="str">
        <f>HYPERLINK("https://anilist.co/staff/100152","Staff: Shinji Takamatsu (Storyboard (OP, ED, ep 1))")</f>
        <v>Staff: Shinji Takamatsu (Storyboard (OP, ED, ep 1))</v>
      </c>
      <c r="B773" s="5">
        <v>90</v>
      </c>
      <c r="C773" s="9">
        <v>1</v>
      </c>
      <c r="D773" s="6">
        <v>1.4054813773717499E-4</v>
      </c>
      <c r="E773" s="7">
        <v>1.26493323963457E-2</v>
      </c>
      <c r="AF773" t="str">
        <v>Staff: Hayato Kifune (Director of Photography)</v>
      </c>
    </row>
    <row r="774" spans="1:32" x14ac:dyDescent="0.3">
      <c r="A774" t="str">
        <f>HYPERLINK("https://anilist.co/staff/132880","Staff: Takashi Kobayashi (Episode Director (ep 7))")</f>
        <v>Staff: Takashi Kobayashi (Episode Director (ep 7))</v>
      </c>
      <c r="B774" s="5">
        <v>90</v>
      </c>
      <c r="C774" s="9">
        <v>1</v>
      </c>
      <c r="D774" s="6">
        <v>1.4054813773717499E-4</v>
      </c>
      <c r="E774" s="7">
        <v>1.26493323963457E-2</v>
      </c>
      <c r="AF774" t="str">
        <v>Staff: Kazusa Yoneda (Original Creator)</v>
      </c>
    </row>
    <row r="775" spans="1:32" x14ac:dyDescent="0.3">
      <c r="A775" t="str">
        <f>HYPERLINK("https://anilist.co/staff/156577","Staff: Takashi Sogabe (Animation Director (eps 2, 9))")</f>
        <v>Staff: Takashi Sogabe (Animation Director (eps 2, 9))</v>
      </c>
      <c r="B775" s="5">
        <v>90</v>
      </c>
      <c r="C775" s="9">
        <v>1</v>
      </c>
      <c r="D775" s="6">
        <v>1.4054813773717499E-4</v>
      </c>
      <c r="E775" s="7">
        <v>1.26493323963457E-2</v>
      </c>
      <c r="AF775" t="str">
        <v>Staff: Hiroshi Kimura (Director)</v>
      </c>
    </row>
    <row r="776" spans="1:32" x14ac:dyDescent="0.3">
      <c r="A776" t="str">
        <f>HYPERLINK("https://anilist.co/staff/100152","Staff: Shinji Takamatsu (Episode Director (OP, ED, ep 1))")</f>
        <v>Staff: Shinji Takamatsu (Episode Director (OP, ED, ep 1))</v>
      </c>
      <c r="B776" s="5">
        <v>90</v>
      </c>
      <c r="C776" s="9">
        <v>1</v>
      </c>
      <c r="D776" s="6">
        <v>1.4054813773717499E-4</v>
      </c>
      <c r="E776" s="7">
        <v>1.26493323963457E-2</v>
      </c>
      <c r="AF776" t="str">
        <v>Staff: Masakatsu Oomuro (Sound Director)</v>
      </c>
    </row>
    <row r="777" spans="1:32" x14ac:dyDescent="0.3">
      <c r="A777" t="str">
        <f>HYPERLINK("https://anilist.co/staff/134885","Staff: Takayuki Onoda (Animation Director (eps 1, 7, 12))")</f>
        <v>Staff: Takayuki Onoda (Animation Director (eps 1, 7, 12))</v>
      </c>
      <c r="B777" s="5">
        <v>90</v>
      </c>
      <c r="C777" s="9">
        <v>1</v>
      </c>
      <c r="D777" s="6">
        <v>1.4054813773717499E-4</v>
      </c>
      <c r="E777" s="7">
        <v>1.26493323963457E-2</v>
      </c>
      <c r="AF777" t="str">
        <v>Staff: Eriko Itou (Character Design)</v>
      </c>
    </row>
    <row r="778" spans="1:32" x14ac:dyDescent="0.3">
      <c r="A778" t="str">
        <f>HYPERLINK("https://anilist.co/staff/124672","Staff: Ryouichi Kuraya (Assistant Episode Director (ep 7))")</f>
        <v>Staff: Ryouichi Kuraya (Assistant Episode Director (ep 7))</v>
      </c>
      <c r="B778" s="5">
        <v>90</v>
      </c>
      <c r="C778" s="9">
        <v>1</v>
      </c>
      <c r="D778" s="6">
        <v>1.4054813773717499E-4</v>
      </c>
      <c r="E778" s="7">
        <v>1.26493323963457E-2</v>
      </c>
      <c r="AF778" t="str">
        <v>Staff: Hisayoshi Hirasawa (Producer)</v>
      </c>
    </row>
    <row r="779" spans="1:32" x14ac:dyDescent="0.3">
      <c r="A779" t="str">
        <f>HYPERLINK("https://anilist.co/staff/101187","Staff: Takahiro Yoshimatsu (Character Design (eps 1-87))")</f>
        <v>Staff: Takahiro Yoshimatsu (Character Design (eps 1-87))</v>
      </c>
      <c r="B779" s="5">
        <v>90</v>
      </c>
      <c r="C779" s="9">
        <v>1</v>
      </c>
      <c r="D779" s="6">
        <v>1.4054813773717499E-4</v>
      </c>
      <c r="E779" s="7">
        <v>1.26493323963457E-2</v>
      </c>
      <c r="AF779" t="str">
        <v>Staff: Saori Tachibana (2D Works (ep 8))</v>
      </c>
    </row>
    <row r="780" spans="1:32" x14ac:dyDescent="0.3">
      <c r="A780" t="str">
        <f>HYPERLINK("https://anilist.co/staff/101353","Staff:  Galneryus (Theme Song Performance (ED2))")</f>
        <v>Staff:  Galneryus (Theme Song Performance (ED2))</v>
      </c>
      <c r="B780" s="5">
        <v>90</v>
      </c>
      <c r="C780" s="9">
        <v>1</v>
      </c>
      <c r="D780" s="6">
        <v>1.4054813773717499E-4</v>
      </c>
      <c r="E780" s="7">
        <v>1.26493323963457E-2</v>
      </c>
      <c r="AF780" t="str">
        <v>Staff:  FLIPFLOPs (Original Creator)</v>
      </c>
    </row>
    <row r="781" spans="1:32" x14ac:dyDescent="0.3">
      <c r="A781" t="str">
        <f>HYPERLINK("https://anilist.co/staff/101404","Staff: Tetsuya Takeuchi (Key Animation (ep 43))")</f>
        <v>Staff: Tetsuya Takeuchi (Key Animation (ep 43))</v>
      </c>
      <c r="B781" s="5">
        <v>90</v>
      </c>
      <c r="C781" s="9">
        <v>1</v>
      </c>
      <c r="D781" s="6">
        <v>1.4054813773717499E-4</v>
      </c>
      <c r="E781" s="7">
        <v>1.26493323963457E-2</v>
      </c>
      <c r="AF781" t="str">
        <v>Staff: Yoshinobu Tokumoto (Director)</v>
      </c>
    </row>
    <row r="782" spans="1:32" x14ac:dyDescent="0.3">
      <c r="A782" t="str">
        <f>HYPERLINK("https://anilist.co/staff/102221","Staff: Yoshihisa Hirano (Music)")</f>
        <v>Staff: Yoshihisa Hirano (Music)</v>
      </c>
      <c r="B782" s="5">
        <v>90</v>
      </c>
      <c r="C782" s="9">
        <v>1</v>
      </c>
      <c r="D782" s="6">
        <v>1.4054813773717499E-4</v>
      </c>
      <c r="E782" s="7">
        <v>1.26493323963457E-2</v>
      </c>
      <c r="AF782" t="str">
        <v>Staff: Kazuya Nakanishi (Character Design)</v>
      </c>
    </row>
    <row r="783" spans="1:32" x14ac:dyDescent="0.3">
      <c r="A783" t="str">
        <f>HYPERLINK("https://anilist.co/staff/105159","Staff: Atsuko Watanabe (Key Animation (OP1))")</f>
        <v>Staff: Atsuko Watanabe (Key Animation (OP1))</v>
      </c>
      <c r="B783" s="5">
        <v>90</v>
      </c>
      <c r="C783" s="9">
        <v>1</v>
      </c>
      <c r="D783" s="6">
        <v>1.4054813773717499E-4</v>
      </c>
      <c r="E783" s="7">
        <v>1.26493323963457E-2</v>
      </c>
      <c r="AF783" t="str">
        <v>Staff: Mashiro Ayano (Theme Song Performance (ED))</v>
      </c>
    </row>
    <row r="784" spans="1:32" x14ac:dyDescent="0.3">
      <c r="A784" t="str">
        <f>HYPERLINK("https://anilist.co/staff/105223","Staff: Hiroshi Koujina (Director)")</f>
        <v>Staff: Hiroshi Koujina (Director)</v>
      </c>
      <c r="B784" s="5">
        <v>90</v>
      </c>
      <c r="C784" s="9">
        <v>1</v>
      </c>
      <c r="D784" s="6">
        <v>1.4054813773717499E-4</v>
      </c>
      <c r="E784" s="7">
        <v>1.26493323963457E-2</v>
      </c>
      <c r="AF784" t="str">
        <v>Staff: ASCA  (Theme Song Performance (OP))</v>
      </c>
    </row>
    <row r="785" spans="1:32" x14ac:dyDescent="0.3">
      <c r="A785" t="str">
        <f>HYPERLINK("https://anilist.co/staff/105862","Staff: Kenichi Maeyamada (Theme Song Arrangement (ED3))")</f>
        <v>Staff: Kenichi Maeyamada (Theme Song Arrangement (ED3))</v>
      </c>
      <c r="B785" s="5">
        <v>90</v>
      </c>
      <c r="C785" s="9">
        <v>1</v>
      </c>
      <c r="D785" s="6">
        <v>1.4054813773717499E-4</v>
      </c>
      <c r="E785" s="7">
        <v>1.26493323963457E-2</v>
      </c>
      <c r="AF785" t="str">
        <v>Staff: Naoto Tanaka (Color Design)</v>
      </c>
    </row>
    <row r="786" spans="1:32" x14ac:dyDescent="0.3">
      <c r="A786" t="str">
        <f>HYPERLINK("https://anilist.co/staff/105862","Staff: Kenichi Maeyamada (Theme Song Composition (ED3))")</f>
        <v>Staff: Kenichi Maeyamada (Theme Song Composition (ED3))</v>
      </c>
      <c r="B786" s="5">
        <v>90</v>
      </c>
      <c r="C786" s="9">
        <v>1</v>
      </c>
      <c r="D786" s="6">
        <v>1.4054813773717499E-4</v>
      </c>
      <c r="E786" s="7">
        <v>1.26493323963457E-2</v>
      </c>
      <c r="AF786" t="str">
        <v>Staff: Shinji Ikeda (CG Director)</v>
      </c>
    </row>
    <row r="787" spans="1:32" x14ac:dyDescent="0.3">
      <c r="A787" t="str">
        <f>HYPERLINK("https://anilist.co/staff/105862","Staff: Kenichi Maeyamada (Theme Song Lyrics (ED3))")</f>
        <v>Staff: Kenichi Maeyamada (Theme Song Lyrics (ED3))</v>
      </c>
      <c r="B787" s="5">
        <v>90</v>
      </c>
      <c r="C787" s="9">
        <v>1</v>
      </c>
      <c r="D787" s="6">
        <v>1.4054813773717499E-4</v>
      </c>
      <c r="E787" s="7">
        <v>1.26493323963457E-2</v>
      </c>
      <c r="AF787" t="str">
        <v>Staff: Kei Takeuchi (Art Director)</v>
      </c>
    </row>
    <row r="788" spans="1:32" x14ac:dyDescent="0.3">
      <c r="A788" t="str">
        <f>HYPERLINK("https://anilist.co/staff/109001","Staff: Fear, and Loathing in Las Vegas  (Theme Song Performance (ED1))")</f>
        <v>Staff: Fear, and Loathing in Las Vegas  (Theme Song Performance (ED1))</v>
      </c>
      <c r="B788" s="5">
        <v>90</v>
      </c>
      <c r="C788" s="9">
        <v>1</v>
      </c>
      <c r="D788" s="6">
        <v>1.4054813773717499E-4</v>
      </c>
      <c r="E788" s="7">
        <v>1.26493323963457E-2</v>
      </c>
      <c r="AF788" t="str">
        <v>Staff: Shuu Miyama (Series Composition)</v>
      </c>
    </row>
    <row r="789" spans="1:32" x14ac:dyDescent="0.3">
      <c r="A789" t="str">
        <f>HYPERLINK("https://anilist.co/staff/109565","Staff: Masatoshi Ono (Theme Song Performance (OP1-OP6))")</f>
        <v>Staff: Masatoshi Ono (Theme Song Performance (OP1-OP6))</v>
      </c>
      <c r="B789" s="5">
        <v>90</v>
      </c>
      <c r="C789" s="9">
        <v>1</v>
      </c>
      <c r="D789" s="6">
        <v>1.4054813773717499E-4</v>
      </c>
      <c r="E789" s="7">
        <v>1.26493323963457E-2</v>
      </c>
      <c r="AF789" t="str">
        <v>Staff: Daichi Kitahara (Prop Design)</v>
      </c>
    </row>
    <row r="790" spans="1:32" x14ac:dyDescent="0.3">
      <c r="A790" t="str">
        <f>HYPERLINK("https://anilist.co/staff/115983","Staff:  Yuzu (Theme Song Performance (ED3-ED5))")</f>
        <v>Staff:  Yuzu (Theme Song Performance (ED3-ED5))</v>
      </c>
      <c r="B790" s="5">
        <v>90</v>
      </c>
      <c r="C790" s="9">
        <v>1</v>
      </c>
      <c r="D790" s="6">
        <v>1.4054813773717499E-4</v>
      </c>
      <c r="E790" s="7">
        <v>1.26493323963457E-2</v>
      </c>
      <c r="AF790" t="str">
        <v>Staff: Junko Okazaki (Color Design)</v>
      </c>
    </row>
    <row r="791" spans="1:32" x14ac:dyDescent="0.3">
      <c r="A791" t="str">
        <f>HYPERLINK("https://anilist.co/staff/116299","Staff: Michinori Chiba (Key Animation (OP4))")</f>
        <v>Staff: Michinori Chiba (Key Animation (OP4))</v>
      </c>
      <c r="B791" s="5">
        <v>90</v>
      </c>
      <c r="C791" s="9">
        <v>1</v>
      </c>
      <c r="D791" s="6">
        <v>1.4054813773717499E-4</v>
      </c>
      <c r="E791" s="7">
        <v>1.26493323963457E-2</v>
      </c>
      <c r="AF791" t="str">
        <v>Staff: Kenichi Kaneko (Weapon Supervisor)</v>
      </c>
    </row>
    <row r="792" spans="1:32" x14ac:dyDescent="0.3">
      <c r="A792" t="str">
        <f>HYPERLINK("https://anilist.co/staff/120544","Staff: Tetsuo Hirakawa (Key Animation (ep 29))")</f>
        <v>Staff: Tetsuo Hirakawa (Key Animation (ep 29))</v>
      </c>
      <c r="B792" s="5">
        <v>90</v>
      </c>
      <c r="C792" s="9">
        <v>1</v>
      </c>
      <c r="D792" s="6">
        <v>1.4054813773717499E-4</v>
      </c>
      <c r="E792" s="7">
        <v>1.26493323963457E-2</v>
      </c>
      <c r="AF792" t="str">
        <v>Staff: Shuu Miyama (Script)</v>
      </c>
    </row>
    <row r="793" spans="1:32" x14ac:dyDescent="0.3">
      <c r="A793" t="str">
        <f>HYPERLINK("https://anilist.co/staff/105226","Staff: Mika Takahashi (Key Animation (OP2-4, ED6, ep 148))")</f>
        <v>Staff: Mika Takahashi (Key Animation (OP2-4, ED6, ep 148))</v>
      </c>
      <c r="B793" s="5">
        <v>90</v>
      </c>
      <c r="C793" s="9">
        <v>1</v>
      </c>
      <c r="D793" s="6">
        <v>1.4054813773717499E-4</v>
      </c>
      <c r="E793" s="7">
        <v>1.26493323963457E-2</v>
      </c>
      <c r="AF793" t="str">
        <v>Staff: Daichi Kitahara (Weapon Design)</v>
      </c>
    </row>
    <row r="794" spans="1:32" x14ac:dyDescent="0.3">
      <c r="A794" t="str">
        <f>HYPERLINK("https://anilist.co/staff/123236","Staff: Hirokazu Hanai (Key Animation (ep 36))")</f>
        <v>Staff: Hirokazu Hanai (Key Animation (ep 36))</v>
      </c>
      <c r="B794" s="5">
        <v>90</v>
      </c>
      <c r="C794" s="9">
        <v>1</v>
      </c>
      <c r="D794" s="6">
        <v>1.4054813773717499E-4</v>
      </c>
      <c r="E794" s="7">
        <v>1.26493323963457E-2</v>
      </c>
      <c r="AF794" t="str">
        <v>Staff: Kazuya Nakanishi (Chief Animation Director (OP, ep 1))</v>
      </c>
    </row>
    <row r="795" spans="1:32" x14ac:dyDescent="0.3">
      <c r="A795" t="str">
        <f>HYPERLINK("https://anilist.co/staff/123868","Staff: Takao Maki (Key Animation (ED3))")</f>
        <v>Staff: Takao Maki (Key Animation (ED3))</v>
      </c>
      <c r="B795" s="5">
        <v>90</v>
      </c>
      <c r="C795" s="9">
        <v>1</v>
      </c>
      <c r="D795" s="6">
        <v>1.4054813773717499E-4</v>
      </c>
      <c r="E795" s="7">
        <v>1.26493323963457E-2</v>
      </c>
      <c r="AF795" t="str">
        <v>Staff: Kazuya Nakanishi (Storyboard (OP))</v>
      </c>
    </row>
    <row r="796" spans="1:32" x14ac:dyDescent="0.3">
      <c r="A796" t="str">
        <f>HYPERLINK("https://anilist.co/staff/125291","Staff: Boya Liang (Key Animation (OP5, ED5, eps 73, 75, 78, 81, 85, 94, 100, 107, 110, 116, 123, 127, 131, 138, 139, 142, 145, 146))")</f>
        <v>Staff: Boya Liang (Key Animation (OP5, ED5, eps 73, 75, 78, 81, 85, 94, 100, 107, 110, 116, 123, 127, 131, 138, 139, 142, 145, 146))</v>
      </c>
      <c r="B796" s="5">
        <v>90</v>
      </c>
      <c r="C796" s="9">
        <v>1</v>
      </c>
      <c r="D796" s="6">
        <v>1.4054813773717499E-4</v>
      </c>
      <c r="E796" s="7">
        <v>1.26493323963457E-2</v>
      </c>
      <c r="AF796" t="str">
        <v>Staff: Kazuya Nakanishi (Action Animation Director (OP, ep 1))</v>
      </c>
    </row>
    <row r="797" spans="1:32" x14ac:dyDescent="0.3">
      <c r="A797" t="str">
        <f>HYPERLINK("https://anilist.co/staff/127038","Staff: Takahiko Abiru (Key Animation (OP1-5, eps 6, 14, 21, 29, 50, 57, 135, 142, 148))")</f>
        <v>Staff: Takahiko Abiru (Key Animation (OP1-5, eps 6, 14, 21, 29, 50, 57, 135, 142, 148))</v>
      </c>
      <c r="B797" s="5">
        <v>90</v>
      </c>
      <c r="C797" s="9">
        <v>1</v>
      </c>
      <c r="D797" s="6">
        <v>1.4054813773717499E-4</v>
      </c>
      <c r="E797" s="7">
        <v>1.26493323963457E-2</v>
      </c>
      <c r="AF797" t="str">
        <v>Staff: Yoshinobu Tokumoto (Storyboard (ep 1))</v>
      </c>
    </row>
    <row r="798" spans="1:32" x14ac:dyDescent="0.3">
      <c r="A798" t="str">
        <f>HYPERLINK("https://anilist.co/staff/134309","Staff: Mio Ishiki  (Art Director)")</f>
        <v>Staff: Mio Ishiki  (Art Director)</v>
      </c>
      <c r="B798" s="5">
        <v>90</v>
      </c>
      <c r="C798" s="9">
        <v>1</v>
      </c>
      <c r="D798" s="6">
        <v>1.4054813773717499E-4</v>
      </c>
      <c r="E798" s="7">
        <v>1.26493323963457E-2</v>
      </c>
      <c r="AF798" t="str">
        <v>Staff: Kazuya Nakanishi (Key Animation (OP, ep 1))</v>
      </c>
    </row>
    <row r="799" spans="1:32" x14ac:dyDescent="0.3">
      <c r="A799" t="str">
        <f>HYPERLINK("https://anilist.co/staff/102026","Staff: Dennis Saemann (Script (German))")</f>
        <v>Staff: Dennis Saemann (Script (German))</v>
      </c>
      <c r="B799" s="5">
        <v>90</v>
      </c>
      <c r="C799" s="9">
        <v>1</v>
      </c>
      <c r="D799" s="6">
        <v>1.4054813773717499E-4</v>
      </c>
      <c r="E799" s="7">
        <v>1.26493323963457E-2</v>
      </c>
      <c r="AF799" t="str">
        <v>Staff: Kazuya Nakanishi (Animation Director (OP, ep 1))</v>
      </c>
    </row>
    <row r="800" spans="1:32" x14ac:dyDescent="0.3">
      <c r="A800" t="str">
        <f>HYPERLINK("https://anilist.co/staff/102705","Staff: Birte Baumgardt (ADR Director (German))")</f>
        <v>Staff: Birte Baumgardt (ADR Director (German))</v>
      </c>
      <c r="B800" s="5">
        <v>90</v>
      </c>
      <c r="C800" s="9">
        <v>1</v>
      </c>
      <c r="D800" s="6">
        <v>1.4054813773717499E-4</v>
      </c>
      <c r="E800" s="7">
        <v>1.26493323963457E-2</v>
      </c>
      <c r="AF800" t="str">
        <v>Staff: Takeshi Hirooka (Episode Director (OP))</v>
      </c>
    </row>
    <row r="801" spans="1:32" x14ac:dyDescent="0.3">
      <c r="A801" t="str">
        <f>HYPERLINK("https://anilist.co/staff/128822","Staff: Yoshihiro Kanno (Key Animation (OP6, eps 5, 12, 20, 28, 34, 40, 82, 91, 96, 98, 105, 112, 118, 125, 126, 132, 146) )")</f>
        <v>Staff: Yoshihiro Kanno (Key Animation (OP6, eps 5, 12, 20, 28, 34, 40, 82, 91, 96, 98, 105, 112, 118, 125, 126, 132, 146) )</v>
      </c>
      <c r="B801" s="5">
        <v>90</v>
      </c>
      <c r="C801" s="9">
        <v>1</v>
      </c>
      <c r="D801" s="6">
        <v>1.4054813773717499E-4</v>
      </c>
      <c r="E801" s="7">
        <v>1.26493323963457E-2</v>
      </c>
      <c r="AF801" t="str">
        <v>Staff: Kouta Hirano (Original Creator)</v>
      </c>
    </row>
    <row r="802" spans="1:32" x14ac:dyDescent="0.3">
      <c r="A802" t="str">
        <f>HYPERLINK("https://anilist.co/staff/114197","Staff: Kurone Mishima (Original Character Design)")</f>
        <v>Staff: Kurone Mishima (Original Character Design)</v>
      </c>
      <c r="B802" s="5">
        <v>90</v>
      </c>
      <c r="C802" s="9">
        <v>1</v>
      </c>
      <c r="D802" s="6">
        <v>1.4054813773717499E-4</v>
      </c>
      <c r="E802" s="7">
        <v>1.26493323963457E-2</v>
      </c>
      <c r="AF802" t="str">
        <v>Staff: Hayato Matsuo (Music)</v>
      </c>
    </row>
    <row r="803" spans="1:32" x14ac:dyDescent="0.3">
      <c r="A803" t="str">
        <f>HYPERLINK("https://anilist.co/staff/118869","Staff: Natsume Akatsuki (Original Story)")</f>
        <v>Staff: Natsume Akatsuki (Original Story)</v>
      </c>
      <c r="B803" s="5">
        <v>90</v>
      </c>
      <c r="C803" s="9">
        <v>1</v>
      </c>
      <c r="D803" s="6">
        <v>1.4054813773717499E-4</v>
      </c>
      <c r="E803" s="7">
        <v>1.26493323963457E-2</v>
      </c>
      <c r="AF803" t="str">
        <v>Staff: Yasushi Ishii (Music)</v>
      </c>
    </row>
    <row r="804" spans="1:32" x14ac:dyDescent="0.3">
      <c r="A804" t="str">
        <f>HYPERLINK("https://anilist.co/staff/106299","Staff: Takaomi Kanasaki (Director)")</f>
        <v>Staff: Takaomi Kanasaki (Director)</v>
      </c>
      <c r="B804" s="5">
        <v>90</v>
      </c>
      <c r="C804" s="9">
        <v>1</v>
      </c>
      <c r="D804" s="6">
        <v>1.4054813773717499E-4</v>
      </c>
      <c r="E804" s="7">
        <v>1.26493323963457E-2</v>
      </c>
      <c r="AF804" t="str">
        <v>Staff: Ryouji Nakamori (Character Design)</v>
      </c>
    </row>
    <row r="805" spans="1:32" x14ac:dyDescent="0.3">
      <c r="A805" t="str">
        <f>HYPERLINK("https://anilist.co/staff/101929","Staff: Makoto Uezu (Series Composition)")</f>
        <v>Staff: Makoto Uezu (Series Composition)</v>
      </c>
      <c r="B805" s="5">
        <v>90</v>
      </c>
      <c r="C805" s="9">
        <v>1</v>
      </c>
      <c r="D805" s="6">
        <v>1.4054813773717499E-4</v>
      </c>
      <c r="E805" s="7">
        <v>1.26493323963457E-2</v>
      </c>
      <c r="AF805" t="str">
        <v>Staff: Ryouji Nakamori (Chief Animation Director)</v>
      </c>
    </row>
    <row r="806" spans="1:32" x14ac:dyDescent="0.3">
      <c r="A806" t="str">
        <f>HYPERLINK("https://anilist.co/staff/120981","Staff: Kouichi Kikuta (Character Design)")</f>
        <v>Staff: Kouichi Kikuta (Character Design)</v>
      </c>
      <c r="B806" s="5">
        <v>90</v>
      </c>
      <c r="C806" s="9">
        <v>1</v>
      </c>
      <c r="D806" s="6">
        <v>1.4054813773717499E-4</v>
      </c>
      <c r="E806" s="7">
        <v>1.26493323963457E-2</v>
      </c>
      <c r="AF806" t="str">
        <v>Staff: Maon Kurosaki (Theme Song Performance (ED))</v>
      </c>
    </row>
    <row r="807" spans="1:32" x14ac:dyDescent="0.3">
      <c r="A807" t="str">
        <f>HYPERLINK("https://anilist.co/staff/101929","Staff: Makoto Uezu (Script (eps 1, 4, 6, 10))")</f>
        <v>Staff: Makoto Uezu (Script (eps 1, 4, 6, 10))</v>
      </c>
      <c r="B807" s="5">
        <v>90</v>
      </c>
      <c r="C807" s="9">
        <v>1</v>
      </c>
      <c r="D807" s="6">
        <v>1.4054813773717499E-4</v>
      </c>
      <c r="E807" s="7">
        <v>1.26493323963457E-2</v>
      </c>
      <c r="AF807" t="str">
        <v>Staff: Tetsuo Hirakawa (Storyboard (ep 6))</v>
      </c>
    </row>
    <row r="808" spans="1:32" x14ac:dyDescent="0.3">
      <c r="A808" t="str">
        <f>HYPERLINK("https://anilist.co/staff/121207","Staff: Kouhei Hashimoto (Key Animation (ep 8))")</f>
        <v>Staff: Kouhei Hashimoto (Key Animation (ep 8))</v>
      </c>
      <c r="B808" s="5">
        <v>90</v>
      </c>
      <c r="C808" s="9">
        <v>1</v>
      </c>
      <c r="D808" s="6">
        <v>1.4054813773717499E-4</v>
      </c>
      <c r="E808" s="7">
        <v>1.26493323963457E-2</v>
      </c>
      <c r="AF808" t="str">
        <v>Staff: Yasuto Nishikata (Episode Director (ep 5))</v>
      </c>
    </row>
    <row r="809" spans="1:32" x14ac:dyDescent="0.3">
      <c r="A809" t="str">
        <f>HYPERLINK("https://anilist.co/staff/119606","Staff: Machico  (Theme Song Performance (OP, ED: ep 10))")</f>
        <v>Staff: Machico  (Theme Song Performance (OP, ED: ep 10))</v>
      </c>
      <c r="B809" s="5">
        <v>90</v>
      </c>
      <c r="C809" s="9">
        <v>1</v>
      </c>
      <c r="D809" s="6">
        <v>1.4054813773717499E-4</v>
      </c>
      <c r="E809" s="7">
        <v>1.26493323963457E-2</v>
      </c>
      <c r="AF809" t="str">
        <v>Staff: Kenichi Kawamura (Storyboard (ep 4))</v>
      </c>
    </row>
    <row r="810" spans="1:32" x14ac:dyDescent="0.3">
      <c r="A810" t="str">
        <f>HYPERLINK("https://anilist.co/staff/127707","Staff: Momoka Komatsu (Chief Animation Director (eps 2, 4, 6, 8, 10))")</f>
        <v>Staff: Momoka Komatsu (Chief Animation Director (eps 2, 4, 6, 8, 10))</v>
      </c>
      <c r="B810" s="5">
        <v>90</v>
      </c>
      <c r="C810" s="9">
        <v>1</v>
      </c>
      <c r="D810" s="6">
        <v>1.4054813773717499E-4</v>
      </c>
      <c r="E810" s="7">
        <v>1.26493323963457E-2</v>
      </c>
      <c r="AF810" t="str">
        <v>Staff: Hiroshi Saitou (Director of Photography)</v>
      </c>
    </row>
    <row r="811" spans="1:32" x14ac:dyDescent="0.3">
      <c r="A811" t="str">
        <f>HYPERLINK("https://anilist.co/staff/117203","Staff: Alex Von David (ADR Director (English))")</f>
        <v>Staff: Alex Von David (ADR Director (English))</v>
      </c>
      <c r="B811" s="5">
        <v>90</v>
      </c>
      <c r="C811" s="9">
        <v>1</v>
      </c>
      <c r="D811" s="6">
        <v>1.4054813773717499E-4</v>
      </c>
      <c r="E811" s="7">
        <v>1.26493323963457E-2</v>
      </c>
      <c r="AF811" t="str">
        <v>Staff: Minutes Til Midnight (Theme Song Performance (OP))</v>
      </c>
    </row>
    <row r="812" spans="1:32" x14ac:dyDescent="0.3">
      <c r="A812" t="str">
        <f>HYPERLINK("https://anilist.co/staff/117203","Staff: Alex Von David (ADR Script (English))")</f>
        <v>Staff: Alex Von David (ADR Script (English))</v>
      </c>
      <c r="B812" s="5">
        <v>90</v>
      </c>
      <c r="C812" s="9">
        <v>1</v>
      </c>
      <c r="D812" s="6">
        <v>1.4054813773717499E-4</v>
      </c>
      <c r="E812" s="7">
        <v>1.26493323963457E-2</v>
      </c>
      <c r="AF812" t="str">
        <v>Staff: Yabako Sandrovich (Original Story)</v>
      </c>
    </row>
    <row r="813" spans="1:32" x14ac:dyDescent="0.3">
      <c r="A813" t="str">
        <f>HYPERLINK("https://anilist.co/staff/116517","Staff: Sora Amamiya (Theme Song Performance (ED))")</f>
        <v>Staff: Sora Amamiya (Theme Song Performance (ED))</v>
      </c>
      <c r="B813" s="5">
        <v>90</v>
      </c>
      <c r="C813" s="9">
        <v>1</v>
      </c>
      <c r="D813" s="6">
        <v>1.4054813773717499E-4</v>
      </c>
      <c r="E813" s="7">
        <v>1.26493323963457E-2</v>
      </c>
      <c r="AF813" t="str">
        <v>Staff: Maam (Original Character Design)</v>
      </c>
    </row>
    <row r="814" spans="1:32" x14ac:dyDescent="0.3">
      <c r="A814" t="str">
        <f>HYPERLINK("https://anilist.co/staff/105765","Staff: Ai Kayano (Theme Song Performance (ED))")</f>
        <v>Staff: Ai Kayano (Theme Song Performance (ED))</v>
      </c>
      <c r="B814" s="5">
        <v>90</v>
      </c>
      <c r="C814" s="9">
        <v>1</v>
      </c>
      <c r="D814" s="6">
        <v>1.4054813773717499E-4</v>
      </c>
      <c r="E814" s="7">
        <v>1.26493323963457E-2</v>
      </c>
      <c r="AF814" t="str">
        <v>Staff: Fairouz Ai (Theme Song Performance (OP))</v>
      </c>
    </row>
    <row r="815" spans="1:32" x14ac:dyDescent="0.3">
      <c r="A815" t="str">
        <f>HYPERLINK("https://anilist.co/staff/119331","Staff: Rie Takahashi (Theme Song Performance (ED))")</f>
        <v>Staff: Rie Takahashi (Theme Song Performance (ED))</v>
      </c>
      <c r="B815" s="5">
        <v>90</v>
      </c>
      <c r="C815" s="9">
        <v>1</v>
      </c>
      <c r="D815" s="6">
        <v>1.4054813773717499E-4</v>
      </c>
      <c r="E815" s="7">
        <v>1.26493323963457E-2</v>
      </c>
      <c r="AF815" t="str">
        <v>Staff: Kaito Ishikawa (Theme Song Performance (OP, ED))</v>
      </c>
    </row>
    <row r="816" spans="1:32" x14ac:dyDescent="0.3">
      <c r="A816" t="str">
        <f>HYPERLINK("https://anilist.co/staff/160454","Staff: Ryousei Satou (Theme Song Lyrics (ED))")</f>
        <v>Staff: Ryousei Satou (Theme Song Lyrics (ED))</v>
      </c>
      <c r="B816" s="5">
        <v>90</v>
      </c>
      <c r="C816" s="9">
        <v>1</v>
      </c>
      <c r="D816" s="6">
        <v>1.4054813773717499E-4</v>
      </c>
      <c r="E816" s="7">
        <v>1.26493323963457E-2</v>
      </c>
      <c r="AF816" t="str">
        <v>Staff: Alexis Tipton (Assistant ADR Director (English))</v>
      </c>
    </row>
    <row r="817" spans="1:32" x14ac:dyDescent="0.3">
      <c r="A817" t="str">
        <f>HYPERLINK("https://anilist.co/staff/160454","Staff: Ryousei Satou (Theme Song Composition (ED))")</f>
        <v>Staff: Ryousei Satou (Theme Song Composition (ED))</v>
      </c>
      <c r="B817" s="5">
        <v>90</v>
      </c>
      <c r="C817" s="9">
        <v>1</v>
      </c>
      <c r="D817" s="6">
        <v>1.4054813773717499E-4</v>
      </c>
      <c r="E817" s="7">
        <v>1.26493323963457E-2</v>
      </c>
      <c r="AF817" t="str">
        <v>Staff: Gino Palencia (Mixing Engineer (English))</v>
      </c>
    </row>
    <row r="818" spans="1:32" x14ac:dyDescent="0.3">
      <c r="A818" t="str">
        <f>HYPERLINK("https://anilist.co/staff/160454","Staff: Ryousei Satou (Theme Song Arrangement (ED))")</f>
        <v>Staff: Ryousei Satou (Theme Song Arrangement (ED))</v>
      </c>
      <c r="B818" s="5">
        <v>90</v>
      </c>
      <c r="C818" s="9">
        <v>1</v>
      </c>
      <c r="D818" s="6">
        <v>1.4054813773717499E-4</v>
      </c>
      <c r="E818" s="7">
        <v>1.26493323963457E-2</v>
      </c>
      <c r="AF818" t="str">
        <v>Staff: Matt Shipman (Assistant ADR Director (English))</v>
      </c>
    </row>
    <row r="819" spans="1:32" x14ac:dyDescent="0.3">
      <c r="A819" t="str">
        <f>HYPERLINK("https://anilist.co/staff/148202","Staff: Kentarou Sonoda (Theme Song Composition (OP, ED: ep 10))")</f>
        <v>Staff: Kentarou Sonoda (Theme Song Composition (OP, ED: ep 10))</v>
      </c>
      <c r="B819" s="5">
        <v>90</v>
      </c>
      <c r="C819" s="9">
        <v>1</v>
      </c>
      <c r="D819" s="6">
        <v>1.4054813773717499E-4</v>
      </c>
      <c r="E819" s="7">
        <v>1.26493323963457E-2</v>
      </c>
      <c r="AF819" t="str">
        <v>Staff: Peter Hawkinson (Assistant ADR Engineer (English))</v>
      </c>
    </row>
    <row r="820" spans="1:32" x14ac:dyDescent="0.3">
      <c r="A820" t="str">
        <f>HYPERLINK("https://anilist.co/staff/148202","Staff: Kentarou Sonoda (Theme Song Lyrics (OP, ED: ep 10))")</f>
        <v>Staff: Kentarou Sonoda (Theme Song Lyrics (OP, ED: ep 10))</v>
      </c>
      <c r="B820" s="5">
        <v>90</v>
      </c>
      <c r="C820" s="9">
        <v>1</v>
      </c>
      <c r="D820" s="6">
        <v>1.4054813773717499E-4</v>
      </c>
      <c r="E820" s="7">
        <v>1.26493323963457E-2</v>
      </c>
      <c r="AF820" t="str">
        <v>Staff: Olivia Harris (Assistant ADR Engineer (English))</v>
      </c>
    </row>
    <row r="821" spans="1:32" x14ac:dyDescent="0.3">
      <c r="A821" t="str">
        <f>HYPERLINK("https://anilist.co/staff/148202","Staff: Kentarou Sonoda (Theme Song Arrangement (OP, ED: ep 10))")</f>
        <v>Staff: Kentarou Sonoda (Theme Song Arrangement (OP, ED: ep 10))</v>
      </c>
      <c r="B821" s="5">
        <v>90</v>
      </c>
      <c r="C821" s="9">
        <v>1</v>
      </c>
      <c r="D821" s="6">
        <v>1.4054813773717499E-4</v>
      </c>
      <c r="E821" s="7">
        <v>1.26493323963457E-2</v>
      </c>
      <c r="AF821" t="str">
        <v>Staff: Victor Acosta (Assistant ADR Engineer (English))</v>
      </c>
    </row>
    <row r="822" spans="1:32" x14ac:dyDescent="0.3">
      <c r="A822" t="str">
        <f>HYPERLINK("https://anilist.co/staff/164152","Staff: Hisashi Yonezawa (Assistant Director of Photography)")</f>
        <v>Staff: Hisashi Yonezawa (Assistant Director of Photography)</v>
      </c>
      <c r="B822" s="5">
        <v>90</v>
      </c>
      <c r="C822" s="9">
        <v>1</v>
      </c>
      <c r="D822" s="6">
        <v>1.4054813773717499E-4</v>
      </c>
      <c r="E822" s="7">
        <v>1.26493323963457E-2</v>
      </c>
      <c r="AF822" t="str">
        <v>Staff: Jamal Roberson (Lead ADR Engineer (English))</v>
      </c>
    </row>
    <row r="823" spans="1:32" x14ac:dyDescent="0.3">
      <c r="A823" t="str">
        <f>HYPERLINK("https://anilist.co/staff/152371","Staff: Shigemitsu Hamao (Director of Photography)")</f>
        <v>Staff: Shigemitsu Hamao (Director of Photography)</v>
      </c>
      <c r="B823" s="5">
        <v>90</v>
      </c>
      <c r="C823" s="9">
        <v>1</v>
      </c>
      <c r="D823" s="6">
        <v>1.4054813773717499E-4</v>
      </c>
      <c r="E823" s="7">
        <v>1.26493323963457E-2</v>
      </c>
      <c r="AF823" t="str">
        <v>Staff: Rickey Watkins (Assistant ADR Engineer (English))</v>
      </c>
    </row>
    <row r="824" spans="1:32" x14ac:dyDescent="0.3">
      <c r="A824" t="str">
        <f>HYPERLINK("https://anilist.co/staff/114333","Staff: Shunji Yoshida (Assistant Director)")</f>
        <v>Staff: Shunji Yoshida (Assistant Director)</v>
      </c>
      <c r="B824" s="5">
        <v>90</v>
      </c>
      <c r="C824" s="9">
        <v>1</v>
      </c>
      <c r="D824" s="6">
        <v>1.4054813773717499E-4</v>
      </c>
      <c r="E824" s="7">
        <v>1.26493323963457E-2</v>
      </c>
      <c r="AF824" t="str">
        <v>Staff: Paul Cline (Assistant ADR Engineer (English))</v>
      </c>
    </row>
    <row r="825" spans="1:32" x14ac:dyDescent="0.3">
      <c r="A825" t="s">
        <v>18</v>
      </c>
      <c r="B825" s="5">
        <v>80</v>
      </c>
      <c r="C825" s="9">
        <v>1</v>
      </c>
      <c r="D825" s="6">
        <v>1.4054813773717499E-4</v>
      </c>
      <c r="E825" s="7">
        <v>1.12438510189739E-2</v>
      </c>
      <c r="AF825" t="str">
        <v>Staff: Zachary Davis (Lead ADR Engineer (English))</v>
      </c>
    </row>
    <row r="826" spans="1:32" x14ac:dyDescent="0.3">
      <c r="A826" t="s">
        <v>20</v>
      </c>
      <c r="B826" s="5">
        <v>80</v>
      </c>
      <c r="C826" s="9">
        <v>1</v>
      </c>
      <c r="D826" s="6">
        <v>1.4054813773717499E-4</v>
      </c>
      <c r="E826" s="7">
        <v>1.12438510189739E-2</v>
      </c>
      <c r="AF826" t="str">
        <v>Staff: William Dewell (Assistant ADR Engineer (English))</v>
      </c>
    </row>
    <row r="827" spans="1:32" x14ac:dyDescent="0.3">
      <c r="A827" t="s">
        <v>470</v>
      </c>
      <c r="B827" s="5">
        <v>80</v>
      </c>
      <c r="C827" s="9">
        <v>1</v>
      </c>
      <c r="D827" s="6">
        <v>1.4054813773717499E-4</v>
      </c>
      <c r="E827" s="7">
        <v>1.12438510189739E-2</v>
      </c>
      <c r="AF827" t="str">
        <v>Staff: Karasuya Sabou (Theme Song Composition (OP))</v>
      </c>
    </row>
    <row r="828" spans="1:32" x14ac:dyDescent="0.3">
      <c r="A828" t="s">
        <v>197</v>
      </c>
      <c r="B828" s="5">
        <v>80</v>
      </c>
      <c r="C828" s="9">
        <v>1</v>
      </c>
      <c r="D828" s="6">
        <v>1.4054813773717499E-4</v>
      </c>
      <c r="E828" s="7">
        <v>1.12438510189739E-2</v>
      </c>
      <c r="AF828" t="str">
        <v>Staff: Ayato Shinozaki (Theme Song Composition (OP))</v>
      </c>
    </row>
    <row r="829" spans="1:32" x14ac:dyDescent="0.3">
      <c r="A829" t="s">
        <v>207</v>
      </c>
      <c r="B829" s="5">
        <v>80</v>
      </c>
      <c r="C829" s="9">
        <v>1</v>
      </c>
      <c r="D829" s="6">
        <v>1.4054813773717499E-4</v>
      </c>
      <c r="E829" s="7">
        <v>1.12438510189739E-2</v>
      </c>
      <c r="AF829" t="str">
        <v>Staff: Karasuya Sabou (Theme Song Lyrics (OP))</v>
      </c>
    </row>
    <row r="830" spans="1:32" x14ac:dyDescent="0.3">
      <c r="A830" t="s">
        <v>222</v>
      </c>
      <c r="B830" s="5">
        <v>80</v>
      </c>
      <c r="C830" s="9">
        <v>1</v>
      </c>
      <c r="D830" s="6">
        <v>1.4054813773717499E-4</v>
      </c>
      <c r="E830" s="7">
        <v>1.12438510189739E-2</v>
      </c>
      <c r="AF830" t="str">
        <v>Staff: Ayato Shinozaki (Theme Song Arrangement (OP))</v>
      </c>
    </row>
    <row r="831" spans="1:32" x14ac:dyDescent="0.3">
      <c r="A831" t="s">
        <v>241</v>
      </c>
      <c r="B831" s="5">
        <v>80</v>
      </c>
      <c r="C831" s="9">
        <v>1</v>
      </c>
      <c r="D831" s="6">
        <v>1.4054813773717499E-4</v>
      </c>
      <c r="E831" s="7">
        <v>1.12438510189739E-2</v>
      </c>
      <c r="AF831" t="str">
        <v>Staff: Morgan Lauré (Assistant ADR Director (English))</v>
      </c>
    </row>
    <row r="832" spans="1:32" x14ac:dyDescent="0.3">
      <c r="A832" t="s">
        <v>242</v>
      </c>
      <c r="B832" s="5">
        <v>80</v>
      </c>
      <c r="C832" s="9">
        <v>1</v>
      </c>
      <c r="D832" s="6">
        <v>1.4054813773717499E-4</v>
      </c>
      <c r="E832" s="7">
        <v>1.12438510189739E-2</v>
      </c>
      <c r="AF832" t="str">
        <v>Staff: Timo R. Schouren (Script (German))</v>
      </c>
    </row>
    <row r="833" spans="1:32" x14ac:dyDescent="0.3">
      <c r="A833" t="s">
        <v>256</v>
      </c>
      <c r="B833" s="5">
        <v>80</v>
      </c>
      <c r="C833" s="9">
        <v>1</v>
      </c>
      <c r="D833" s="6">
        <v>1.4054813773717499E-4</v>
      </c>
      <c r="E833" s="7">
        <v>1.12438510189739E-2</v>
      </c>
      <c r="AF833" t="str">
        <v>Staff: Fujino Oomori (Original Story)</v>
      </c>
    </row>
    <row r="834" spans="1:32" x14ac:dyDescent="0.3">
      <c r="A834" t="s">
        <v>260</v>
      </c>
      <c r="B834" s="5">
        <v>80</v>
      </c>
      <c r="C834" s="9">
        <v>1</v>
      </c>
      <c r="D834" s="6">
        <v>1.4054813773717499E-4</v>
      </c>
      <c r="E834" s="7">
        <v>1.12438510189739E-2</v>
      </c>
      <c r="AF834" t="str">
        <v>Staff: Suzuhito Yasuda (Original Character Design)</v>
      </c>
    </row>
    <row r="835" spans="1:32" x14ac:dyDescent="0.3">
      <c r="A835" t="s">
        <v>51</v>
      </c>
      <c r="B835" s="5">
        <v>80</v>
      </c>
      <c r="C835" s="9">
        <v>1</v>
      </c>
      <c r="D835" s="6">
        <v>1.4054813773717499E-4</v>
      </c>
      <c r="E835" s="7">
        <v>1.12438510189739E-2</v>
      </c>
      <c r="AF835" t="str">
        <v>Staff: Yoshinobu Yamakawa (Director)</v>
      </c>
    </row>
    <row r="836" spans="1:32" x14ac:dyDescent="0.3">
      <c r="A836" t="s">
        <v>289</v>
      </c>
      <c r="B836" s="5">
        <v>80</v>
      </c>
      <c r="C836" s="9">
        <v>1</v>
      </c>
      <c r="D836" s="6">
        <v>1.4054813773717499E-4</v>
      </c>
      <c r="E836" s="7">
        <v>1.12438510189739E-2</v>
      </c>
      <c r="AF836" t="str">
        <v>Staff: Kazunori Iwakura (Animation Director (eps 2, 8, 10, 13))</v>
      </c>
    </row>
    <row r="837" spans="1:32" x14ac:dyDescent="0.3">
      <c r="A837" t="s">
        <v>320</v>
      </c>
      <c r="B837" s="5">
        <v>80</v>
      </c>
      <c r="C837" s="9">
        <v>1</v>
      </c>
      <c r="D837" s="6">
        <v>1.4054813773717499E-4</v>
      </c>
      <c r="E837" s="7">
        <v>1.12438510189739E-2</v>
      </c>
      <c r="AF837" t="str">
        <v>Staff: Kazunori Iwakura (Key Animation (eps 8, 13))</v>
      </c>
    </row>
    <row r="838" spans="1:32" x14ac:dyDescent="0.3">
      <c r="A838" t="s">
        <v>353</v>
      </c>
      <c r="B838" s="5">
        <v>80</v>
      </c>
      <c r="C838" s="9">
        <v>1</v>
      </c>
      <c r="D838" s="6">
        <v>1.4054813773717499E-4</v>
      </c>
      <c r="E838" s="7">
        <v>1.12438510189739E-2</v>
      </c>
      <c r="AF838" t="str">
        <v>Staff: Katsushi Sakurabi (Storyboard (ep 10))</v>
      </c>
    </row>
    <row r="839" spans="1:32" x14ac:dyDescent="0.3">
      <c r="A839" t="s">
        <v>361</v>
      </c>
      <c r="B839" s="5">
        <v>80</v>
      </c>
      <c r="C839" s="9">
        <v>1</v>
      </c>
      <c r="D839" s="6">
        <v>1.4054813773717499E-4</v>
      </c>
      <c r="E839" s="7">
        <v>1.12438510189739E-2</v>
      </c>
      <c r="AF839" t="str">
        <v>Staff: Katsushi Sakurabi (Episode Director (OP, eps 3, 10, 13))</v>
      </c>
    </row>
    <row r="840" spans="1:32" x14ac:dyDescent="0.3">
      <c r="A840" t="s">
        <v>362</v>
      </c>
      <c r="B840" s="5">
        <v>80</v>
      </c>
      <c r="C840" s="9">
        <v>1</v>
      </c>
      <c r="D840" s="6">
        <v>1.4054813773717499E-4</v>
      </c>
      <c r="E840" s="7">
        <v>1.12438510189739E-2</v>
      </c>
      <c r="AF840" t="str">
        <v>Staff: Katsushi Sakurabi (Key Animation (ep 10))</v>
      </c>
    </row>
    <row r="841" spans="1:32" x14ac:dyDescent="0.3">
      <c r="A841" t="s">
        <v>363</v>
      </c>
      <c r="B841" s="5">
        <v>80</v>
      </c>
      <c r="C841" s="9">
        <v>1</v>
      </c>
      <c r="D841" s="6">
        <v>1.4054813773717499E-4</v>
      </c>
      <c r="E841" s="7">
        <v>1.12438510189739E-2</v>
      </c>
      <c r="AF841" t="str">
        <v>Staff: Keiji Inai (Music)</v>
      </c>
    </row>
    <row r="842" spans="1:32" x14ac:dyDescent="0.3">
      <c r="A842" t="s">
        <v>389</v>
      </c>
      <c r="B842" s="5">
        <v>80</v>
      </c>
      <c r="C842" s="9">
        <v>1</v>
      </c>
      <c r="D842" s="6">
        <v>1.4054813773717499E-4</v>
      </c>
      <c r="E842" s="7">
        <v>1.12438510189739E-2</v>
      </c>
      <c r="AF842" t="str">
        <v>Staff: Shigeki Kimoto (Character Design)</v>
      </c>
    </row>
    <row r="843" spans="1:32" x14ac:dyDescent="0.3">
      <c r="A843" t="s">
        <v>405</v>
      </c>
      <c r="B843" s="5">
        <v>80</v>
      </c>
      <c r="C843" s="9">
        <v>1</v>
      </c>
      <c r="D843" s="6">
        <v>1.4054813773717499E-4</v>
      </c>
      <c r="E843" s="7">
        <v>1.12438510189739E-2</v>
      </c>
      <c r="AF843" t="str">
        <v>Staff: Shigeki Kimoto (Chief Animation Director)</v>
      </c>
    </row>
    <row r="844" spans="1:32" x14ac:dyDescent="0.3">
      <c r="A844" t="s">
        <v>406</v>
      </c>
      <c r="B844" s="5">
        <v>80</v>
      </c>
      <c r="C844" s="9">
        <v>1</v>
      </c>
      <c r="D844" s="6">
        <v>1.4054813773717499E-4</v>
      </c>
      <c r="E844" s="7">
        <v>1.12438510189739E-2</v>
      </c>
      <c r="AF844" t="str">
        <v>Staff: Shigeki Kimoto (Animation Director (OP, ED, ep 1))</v>
      </c>
    </row>
    <row r="845" spans="1:32" x14ac:dyDescent="0.3">
      <c r="A845" t="s">
        <v>408</v>
      </c>
      <c r="B845" s="5">
        <v>80</v>
      </c>
      <c r="C845" s="9">
        <v>1</v>
      </c>
      <c r="D845" s="6">
        <v>1.4054813773717499E-4</v>
      </c>
      <c r="E845" s="7">
        <v>1.12438510189739E-2</v>
      </c>
      <c r="AF845" t="str">
        <v>Staff: Mika Takahashi (Key Animation (OP, ep 3-13))</v>
      </c>
    </row>
    <row r="846" spans="1:32" x14ac:dyDescent="0.3">
      <c r="A846" t="s">
        <v>418</v>
      </c>
      <c r="B846" s="5">
        <v>80</v>
      </c>
      <c r="C846" s="9">
        <v>1</v>
      </c>
      <c r="D846" s="6">
        <v>1.4054813773717499E-4</v>
      </c>
      <c r="E846" s="7">
        <v>1.12438510189739E-2</v>
      </c>
      <c r="AF846" t="str">
        <v>Staff: Mariko Iguchi (Key Animation (eps 2, 6, 8))</v>
      </c>
    </row>
    <row r="847" spans="1:32" x14ac:dyDescent="0.3">
      <c r="A847" t="s">
        <v>419</v>
      </c>
      <c r="B847" s="5">
        <v>80</v>
      </c>
      <c r="C847" s="9">
        <v>1</v>
      </c>
      <c r="D847" s="6">
        <v>1.4054813773717499E-4</v>
      </c>
      <c r="E847" s="7">
        <v>1.12438510189739E-2</v>
      </c>
      <c r="AF847" t="str">
        <v>Staff: Risako Yoshida (Episode Director (ep 6))</v>
      </c>
    </row>
    <row r="848" spans="1:32" x14ac:dyDescent="0.3">
      <c r="A848" t="s">
        <v>420</v>
      </c>
      <c r="B848" s="5">
        <v>80</v>
      </c>
      <c r="C848" s="9">
        <v>1</v>
      </c>
      <c r="D848" s="6">
        <v>1.4054813773717499E-4</v>
      </c>
      <c r="E848" s="7">
        <v>1.12438510189739E-2</v>
      </c>
      <c r="AF848" t="str">
        <v>Staff: Masato Anno (Animation Director (eps 6, 10, 13))</v>
      </c>
    </row>
    <row r="849" spans="1:32" x14ac:dyDescent="0.3">
      <c r="A849" t="s">
        <v>421</v>
      </c>
      <c r="B849" s="5">
        <v>80</v>
      </c>
      <c r="C849" s="9">
        <v>1</v>
      </c>
      <c r="D849" s="6">
        <v>1.4054813773717499E-4</v>
      </c>
      <c r="E849" s="7">
        <v>1.12438510189739E-2</v>
      </c>
      <c r="AF849" t="str">
        <v>Staff: Masato Anno (Assistant Animation Director (eps 8, 12))</v>
      </c>
    </row>
    <row r="850" spans="1:32" x14ac:dyDescent="0.3">
      <c r="A850" t="s">
        <v>422</v>
      </c>
      <c r="B850" s="5">
        <v>80</v>
      </c>
      <c r="C850" s="9">
        <v>1</v>
      </c>
      <c r="D850" s="6">
        <v>1.4054813773717499E-4</v>
      </c>
      <c r="E850" s="7">
        <v>1.12438510189739E-2</v>
      </c>
      <c r="AF850" t="str">
        <v>Staff: Masato Anno (Key Animation (eps 1, 2, 4, 6))</v>
      </c>
    </row>
    <row r="851" spans="1:32" x14ac:dyDescent="0.3">
      <c r="A851" t="s">
        <v>423</v>
      </c>
      <c r="B851" s="5">
        <v>80</v>
      </c>
      <c r="C851" s="9">
        <v>1</v>
      </c>
      <c r="D851" s="6">
        <v>1.4054813773717499E-4</v>
      </c>
      <c r="E851" s="7">
        <v>1.12438510189739E-2</v>
      </c>
      <c r="AF851" t="str">
        <v>Staff: Shouko Yasuda (Animation Director (eps 7, 11))</v>
      </c>
    </row>
    <row r="852" spans="1:32" x14ac:dyDescent="0.3">
      <c r="A852" t="s">
        <v>424</v>
      </c>
      <c r="B852" s="5">
        <v>80</v>
      </c>
      <c r="C852" s="9">
        <v>1</v>
      </c>
      <c r="D852" s="6">
        <v>1.4054813773717499E-4</v>
      </c>
      <c r="E852" s="7">
        <v>1.12438510189739E-2</v>
      </c>
      <c r="AF852" t="str">
        <v>Staff: Hiroshi Yakou (Key Animation (eps 1, 4, 6))</v>
      </c>
    </row>
    <row r="853" spans="1:32" x14ac:dyDescent="0.3">
      <c r="A853" t="s">
        <v>425</v>
      </c>
      <c r="B853" s="5">
        <v>80</v>
      </c>
      <c r="C853" s="9">
        <v>1</v>
      </c>
      <c r="D853" s="6">
        <v>1.4054813773717499E-4</v>
      </c>
      <c r="E853" s="7">
        <v>1.12438510189739E-2</v>
      </c>
      <c r="AF853" t="str">
        <v>Staff: Ayumu Hisao (Script (eps 4, 5, 7, 11))</v>
      </c>
    </row>
    <row r="854" spans="1:32" x14ac:dyDescent="0.3">
      <c r="A854" t="s">
        <v>426</v>
      </c>
      <c r="B854" s="5">
        <v>80</v>
      </c>
      <c r="C854" s="9">
        <v>1</v>
      </c>
      <c r="D854" s="6">
        <v>1.4054813773717499E-4</v>
      </c>
      <c r="E854" s="7">
        <v>1.12438510189739E-2</v>
      </c>
      <c r="AF854" t="str">
        <v>Staff: Miki Matsumoto (2nd Key Animation (eps 5-12))</v>
      </c>
    </row>
    <row r="855" spans="1:32" x14ac:dyDescent="0.3">
      <c r="A855" t="s">
        <v>427</v>
      </c>
      <c r="B855" s="5">
        <v>80</v>
      </c>
      <c r="C855" s="9">
        <v>1</v>
      </c>
      <c r="D855" s="6">
        <v>1.4054813773717499E-4</v>
      </c>
      <c r="E855" s="7">
        <v>1.12438510189739E-2</v>
      </c>
      <c r="AF855" t="str">
        <v>Staff: Noriko Dohi (Opening Theme Producer)</v>
      </c>
    </row>
    <row r="856" spans="1:32" x14ac:dyDescent="0.3">
      <c r="A856" t="s">
        <v>431</v>
      </c>
      <c r="B856" s="5">
        <v>80</v>
      </c>
      <c r="C856" s="9">
        <v>1</v>
      </c>
      <c r="D856" s="6">
        <v>1.4054813773717499E-4</v>
      </c>
      <c r="E856" s="7">
        <v>1.12438510189739E-2</v>
      </c>
      <c r="AF856" t="str">
        <v>Staff: Kenichirou Aoki (2nd Key Animation (eps 5-12))</v>
      </c>
    </row>
    <row r="857" spans="1:32" x14ac:dyDescent="0.3">
      <c r="A857" t="s">
        <v>432</v>
      </c>
      <c r="B857" s="5">
        <v>80</v>
      </c>
      <c r="C857" s="9">
        <v>1</v>
      </c>
      <c r="D857" s="6">
        <v>1.4054813773717499E-4</v>
      </c>
      <c r="E857" s="7">
        <v>1.12438510189739E-2</v>
      </c>
      <c r="AF857" t="str">
        <v>Staff: Ukami  (Original Creator)</v>
      </c>
    </row>
    <row r="858" spans="1:32" x14ac:dyDescent="0.3">
      <c r="A858" t="s">
        <v>433</v>
      </c>
      <c r="B858" s="5">
        <v>80</v>
      </c>
      <c r="C858" s="9">
        <v>1</v>
      </c>
      <c r="D858" s="6">
        <v>1.4054813773717499E-4</v>
      </c>
      <c r="E858" s="7">
        <v>1.12438510189739E-2</v>
      </c>
      <c r="AF858" t="str">
        <v>Staff: Katsuhiro Kumagai (Chief Animation Director (ED2, eps 1, 3, 6, 8, 10, 12))</v>
      </c>
    </row>
    <row r="859" spans="1:32" x14ac:dyDescent="0.3">
      <c r="A859" t="s">
        <v>434</v>
      </c>
      <c r="B859" s="5">
        <v>80</v>
      </c>
      <c r="C859" s="9">
        <v>1</v>
      </c>
      <c r="D859" s="6">
        <v>1.4054813773717499E-4</v>
      </c>
      <c r="E859" s="7">
        <v>1.12438510189739E-2</v>
      </c>
      <c r="AF859" t="str">
        <v>Staff: Kana Hanazawa (Theme Song Performance (OP &amp; ED))</v>
      </c>
    </row>
    <row r="860" spans="1:32" x14ac:dyDescent="0.3">
      <c r="A860" t="s">
        <v>435</v>
      </c>
      <c r="B860" s="5">
        <v>80</v>
      </c>
      <c r="C860" s="9">
        <v>1</v>
      </c>
      <c r="D860" s="6">
        <v>1.4054813773717499E-4</v>
      </c>
      <c r="E860" s="7">
        <v>1.12438510189739E-2</v>
      </c>
      <c r="AF860" t="str">
        <v>Staff: Miyu Tomita (Theme Song Performance (OP &amp; ED))</v>
      </c>
    </row>
    <row r="861" spans="1:32" x14ac:dyDescent="0.3">
      <c r="A861" t="s">
        <v>436</v>
      </c>
      <c r="B861" s="5">
        <v>80</v>
      </c>
      <c r="C861" s="9">
        <v>1</v>
      </c>
      <c r="D861" s="6">
        <v>1.4054813773717499E-4</v>
      </c>
      <c r="E861" s="7">
        <v>1.12438510189739E-2</v>
      </c>
      <c r="AF861" t="str">
        <v>Staff: Naomi Oozora (Theme Song Performance (OP &amp; ED))</v>
      </c>
    </row>
    <row r="862" spans="1:32" x14ac:dyDescent="0.3">
      <c r="A862" t="s">
        <v>437</v>
      </c>
      <c r="B862" s="5">
        <v>80</v>
      </c>
      <c r="C862" s="9">
        <v>1</v>
      </c>
      <c r="D862" s="6">
        <v>1.4054813773717499E-4</v>
      </c>
      <c r="E862" s="7">
        <v>1.12438510189739E-2</v>
      </c>
      <c r="AF862" t="str">
        <v>Staff: Saori Oonishi (Theme Song Performance (OP &amp; ED))</v>
      </c>
    </row>
    <row r="863" spans="1:32" x14ac:dyDescent="0.3">
      <c r="A863" t="s">
        <v>438</v>
      </c>
      <c r="B863" s="5">
        <v>80</v>
      </c>
      <c r="C863" s="9">
        <v>1</v>
      </c>
      <c r="D863" s="6">
        <v>1.4054813773717499E-4</v>
      </c>
      <c r="E863" s="7">
        <v>1.12438510189739E-2</v>
      </c>
      <c r="AF863" t="str">
        <v>Staff: Kenji Sugihara (Script (eps 3, 7, 10))</v>
      </c>
    </row>
    <row r="864" spans="1:32" x14ac:dyDescent="0.3">
      <c r="A864" t="s">
        <v>452</v>
      </c>
      <c r="B864" s="5">
        <v>80</v>
      </c>
      <c r="C864" s="9">
        <v>1</v>
      </c>
      <c r="D864" s="6">
        <v>1.4054813773717499E-4</v>
      </c>
      <c r="E864" s="7">
        <v>1.12438510189739E-2</v>
      </c>
      <c r="AF864" t="str">
        <v>Staff: Takashi Aoshima (Script (eps 1, 5, 12))</v>
      </c>
    </row>
    <row r="865" spans="1:32" x14ac:dyDescent="0.3">
      <c r="A865" t="s">
        <v>453</v>
      </c>
      <c r="B865" s="5">
        <v>80</v>
      </c>
      <c r="C865" s="9">
        <v>1</v>
      </c>
      <c r="D865" s="6">
        <v>1.4054813773717499E-4</v>
      </c>
      <c r="E865" s="7">
        <v>1.12438510189739E-2</v>
      </c>
      <c r="AF865" t="str">
        <v>Staff: Hideaki Koyasu (Script (eps 2, 6, 9))</v>
      </c>
    </row>
    <row r="866" spans="1:32" x14ac:dyDescent="0.3">
      <c r="A866" t="s">
        <v>454</v>
      </c>
      <c r="B866" s="5">
        <v>80</v>
      </c>
      <c r="C866" s="9">
        <v>1</v>
      </c>
      <c r="D866" s="6">
        <v>1.4054813773717499E-4</v>
      </c>
      <c r="E866" s="7">
        <v>1.12438510189739E-2</v>
      </c>
      <c r="AF866" t="str">
        <v>Staff: Naoko Kuwabara (Chief Animation Director (eps 2, 4, 5, 7, 9, 11) )</v>
      </c>
    </row>
    <row r="867" spans="1:32" x14ac:dyDescent="0.3">
      <c r="A867" t="s">
        <v>512</v>
      </c>
      <c r="B867" s="5">
        <v>80</v>
      </c>
      <c r="C867" s="9">
        <v>1</v>
      </c>
      <c r="D867" s="6">
        <v>1.4054813773717499E-4</v>
      </c>
      <c r="E867" s="7">
        <v>1.12438510189739E-2</v>
      </c>
      <c r="AF867" t="str">
        <v>Staff: Naoko Kuwabara (Animation Director (OP, ED, ep 12))</v>
      </c>
    </row>
    <row r="868" spans="1:32" x14ac:dyDescent="0.3">
      <c r="A868" t="s">
        <v>515</v>
      </c>
      <c r="B868" s="5">
        <v>80</v>
      </c>
      <c r="C868" s="9">
        <v>1</v>
      </c>
      <c r="D868" s="6">
        <v>1.4054813773717499E-4</v>
      </c>
      <c r="E868" s="7">
        <v>1.12438510189739E-2</v>
      </c>
      <c r="AF868" t="str">
        <v>Staff: Naoko Kuwabara (Key Animation (eps 1, 2))</v>
      </c>
    </row>
    <row r="869" spans="1:32" x14ac:dyDescent="0.3">
      <c r="A869" t="s">
        <v>516</v>
      </c>
      <c r="B869" s="5">
        <v>80</v>
      </c>
      <c r="C869" s="9">
        <v>1</v>
      </c>
      <c r="D869" s="6">
        <v>1.4054813773717499E-4</v>
      </c>
      <c r="E869" s="7">
        <v>1.12438510189739E-2</v>
      </c>
      <c r="AF869" t="str">
        <v>Staff: Naoko Kuwabara (Sub-Character Design)</v>
      </c>
    </row>
    <row r="870" spans="1:32" x14ac:dyDescent="0.3">
      <c r="A870" t="s">
        <v>588</v>
      </c>
      <c r="B870" s="5">
        <v>80</v>
      </c>
      <c r="C870" s="9">
        <v>1</v>
      </c>
      <c r="D870" s="6">
        <v>1.4054813773717499E-4</v>
      </c>
      <c r="E870" s="7">
        <v>1.12438510189739E-2</v>
      </c>
      <c r="AF870" t="str">
        <v>Staff: Nobuyuki Mitani (Key Animation (OP, eps 1, 5, 7, 8, 12))</v>
      </c>
    </row>
    <row r="871" spans="1:32" x14ac:dyDescent="0.3">
      <c r="A871" t="s">
        <v>606</v>
      </c>
      <c r="B871" s="5">
        <v>80</v>
      </c>
      <c r="C871" s="9">
        <v>1</v>
      </c>
      <c r="D871" s="6">
        <v>1.4054813773717499E-4</v>
      </c>
      <c r="E871" s="7">
        <v>1.12438510189739E-2</v>
      </c>
      <c r="AF871" t="str">
        <v>Staff: Yasuhiro Misawa (Theme Song Composition (ED2))</v>
      </c>
    </row>
    <row r="872" spans="1:32" x14ac:dyDescent="0.3">
      <c r="A872" t="s">
        <v>607</v>
      </c>
      <c r="B872" s="5">
        <v>80</v>
      </c>
      <c r="C872" s="9">
        <v>1</v>
      </c>
      <c r="D872" s="6">
        <v>1.4054813773717499E-4</v>
      </c>
      <c r="E872" s="7">
        <v>1.12438510189739E-2</v>
      </c>
      <c r="AF872" t="str">
        <v>Staff: Saori Oonishi (Theme Song Performance (ED2))</v>
      </c>
    </row>
    <row r="873" spans="1:32" x14ac:dyDescent="0.3">
      <c r="A873" t="s">
        <v>608</v>
      </c>
      <c r="B873" s="5">
        <v>80</v>
      </c>
      <c r="C873" s="9">
        <v>1</v>
      </c>
      <c r="D873" s="6">
        <v>1.4054813773717499E-4</v>
      </c>
      <c r="E873" s="7">
        <v>1.12438510189739E-2</v>
      </c>
      <c r="AF873" t="str">
        <v>Staff: Yannik Raiss (Script (German))</v>
      </c>
    </row>
    <row r="874" spans="1:32" x14ac:dyDescent="0.3">
      <c r="A874" t="s">
        <v>610</v>
      </c>
      <c r="B874" s="5">
        <v>80</v>
      </c>
      <c r="C874" s="9">
        <v>1</v>
      </c>
      <c r="D874" s="6">
        <v>1.4054813773717499E-4</v>
      </c>
      <c r="E874" s="7">
        <v>1.12438510189739E-2</v>
      </c>
      <c r="AF874" t="str">
        <v>Staff: Miwa Ooshima (Character Design)</v>
      </c>
    </row>
    <row r="875" spans="1:32" x14ac:dyDescent="0.3">
      <c r="A875" t="s">
        <v>612</v>
      </c>
      <c r="B875" s="5">
        <v>80</v>
      </c>
      <c r="C875" s="9">
        <v>1</v>
      </c>
      <c r="D875" s="6">
        <v>1.4054813773717499E-4</v>
      </c>
      <c r="E875" s="7">
        <v>1.12438510189739E-2</v>
      </c>
      <c r="AF875" t="str">
        <v>Staff: Mariko Itou (Animation Director (ep 7))</v>
      </c>
    </row>
    <row r="876" spans="1:32" x14ac:dyDescent="0.3">
      <c r="A876" t="s">
        <v>614</v>
      </c>
      <c r="B876" s="5">
        <v>80</v>
      </c>
      <c r="C876" s="9">
        <v>1</v>
      </c>
      <c r="D876" s="6">
        <v>1.4054813773717499E-4</v>
      </c>
      <c r="E876" s="7">
        <v>1.12438510189739E-2</v>
      </c>
      <c r="AF876" t="str">
        <v>Staff: Miyako Yatsu (Animation Director (eps 2, 6))</v>
      </c>
    </row>
    <row r="877" spans="1:32" x14ac:dyDescent="0.3">
      <c r="A877" t="s">
        <v>615</v>
      </c>
      <c r="B877" s="5">
        <v>80</v>
      </c>
      <c r="C877" s="9">
        <v>1</v>
      </c>
      <c r="D877" s="6">
        <v>1.4054813773717499E-4</v>
      </c>
      <c r="E877" s="7">
        <v>1.12438510189739E-2</v>
      </c>
      <c r="AF877" t="str">
        <v>Staff: Midori Endou (Original Creator)</v>
      </c>
    </row>
    <row r="878" spans="1:32" x14ac:dyDescent="0.3">
      <c r="A878" t="s">
        <v>616</v>
      </c>
      <c r="B878" s="5">
        <v>80</v>
      </c>
      <c r="C878" s="9">
        <v>1</v>
      </c>
      <c r="D878" s="6">
        <v>1.4054813773717499E-4</v>
      </c>
      <c r="E878" s="7">
        <v>1.12438510189739E-2</v>
      </c>
      <c r="AF878" t="str">
        <v>Staff: Kenichi Maeyamada (Theme Song Arrangement (OP))</v>
      </c>
    </row>
    <row r="879" spans="1:32" x14ac:dyDescent="0.3">
      <c r="A879" t="s">
        <v>686</v>
      </c>
      <c r="B879" s="5">
        <v>80</v>
      </c>
      <c r="C879" s="9">
        <v>1</v>
      </c>
      <c r="D879" s="6">
        <v>1.4054813773717499E-4</v>
      </c>
      <c r="E879" s="7">
        <v>1.12438510189739E-2</v>
      </c>
      <c r="AF879" t="str">
        <v>Staff: Kenichi Maeyamada (Theme Song Composition (OP))</v>
      </c>
    </row>
    <row r="880" spans="1:32" x14ac:dyDescent="0.3">
      <c r="A880" t="s">
        <v>687</v>
      </c>
      <c r="B880" s="5">
        <v>80</v>
      </c>
      <c r="C880" s="9">
        <v>1</v>
      </c>
      <c r="D880" s="6">
        <v>1.4054813773717499E-4</v>
      </c>
      <c r="E880" s="7">
        <v>1.12438510189739E-2</v>
      </c>
      <c r="AF880" t="str">
        <v>Staff: Kenichi Maeyamada (Theme Song Lyrics (OP))</v>
      </c>
    </row>
    <row r="881" spans="1:32" x14ac:dyDescent="0.3">
      <c r="A881" t="s">
        <v>707</v>
      </c>
      <c r="B881" s="5">
        <v>80</v>
      </c>
      <c r="C881" s="9">
        <v>1</v>
      </c>
      <c r="D881" s="6">
        <v>1.4054813773717499E-4</v>
      </c>
      <c r="E881" s="7">
        <v>1.12438510189739E-2</v>
      </c>
      <c r="AF881" t="str">
        <v>Staff: Atsushi Suemitsu (Theme Song Performance (ED))</v>
      </c>
    </row>
    <row r="882" spans="1:32" x14ac:dyDescent="0.3">
      <c r="A882" t="s">
        <v>710</v>
      </c>
      <c r="B882" s="5">
        <v>80</v>
      </c>
      <c r="C882" s="9">
        <v>1</v>
      </c>
      <c r="D882" s="6">
        <v>1.4054813773717499E-4</v>
      </c>
      <c r="E882" s="7">
        <v>1.12438510189739E-2</v>
      </c>
      <c r="AF882" t="str">
        <v>Staff: Atsushi Suemitsu (Theme Song Arrangement (ED))</v>
      </c>
    </row>
    <row r="883" spans="1:32" x14ac:dyDescent="0.3">
      <c r="A883" t="s">
        <v>711</v>
      </c>
      <c r="B883" s="5">
        <v>80</v>
      </c>
      <c r="C883" s="9">
        <v>1</v>
      </c>
      <c r="D883" s="6">
        <v>1.4054813773717499E-4</v>
      </c>
      <c r="E883" s="7">
        <v>1.12438510189739E-2</v>
      </c>
      <c r="AF883" t="str">
        <v>Staff: Atsushi Suemitsu (Theme Song Lyrics (ED))</v>
      </c>
    </row>
    <row r="884" spans="1:32" x14ac:dyDescent="0.3">
      <c r="A884" t="s">
        <v>736</v>
      </c>
      <c r="B884" s="5">
        <v>80</v>
      </c>
      <c r="C884" s="9">
        <v>1</v>
      </c>
      <c r="D884" s="6">
        <v>1.4054813773717499E-4</v>
      </c>
      <c r="E884" s="7">
        <v>1.12438510189739E-2</v>
      </c>
      <c r="AF884" t="str">
        <v>Staff: Atsushi Suemitsu (Theme Song Composition (ED))</v>
      </c>
    </row>
    <row r="885" spans="1:32" x14ac:dyDescent="0.3">
      <c r="A885" t="s">
        <v>737</v>
      </c>
      <c r="B885" s="5">
        <v>80</v>
      </c>
      <c r="C885" s="9">
        <v>1</v>
      </c>
      <c r="D885" s="6">
        <v>1.4054813773717499E-4</v>
      </c>
      <c r="E885" s="7">
        <v>1.12438510189739E-2</v>
      </c>
      <c r="AF885" t="str">
        <v>Staff: Takahiro Sakurai (Theme Song Performance (OP))</v>
      </c>
    </row>
    <row r="886" spans="1:32" x14ac:dyDescent="0.3">
      <c r="A886" t="s">
        <v>738</v>
      </c>
      <c r="B886" s="5">
        <v>80</v>
      </c>
      <c r="C886" s="9">
        <v>1</v>
      </c>
      <c r="D886" s="6">
        <v>1.4054813773717499E-4</v>
      </c>
      <c r="E886" s="7">
        <v>1.12438510189739E-2</v>
      </c>
      <c r="AF886" t="str">
        <v>Staff: Jouji Nakata (Theme Song Performance (OP))</v>
      </c>
    </row>
    <row r="887" spans="1:32" x14ac:dyDescent="0.3">
      <c r="A887" t="s">
        <v>739</v>
      </c>
      <c r="B887" s="5">
        <v>80</v>
      </c>
      <c r="C887" s="9">
        <v>1</v>
      </c>
      <c r="D887" s="6">
        <v>1.4054813773717499E-4</v>
      </c>
      <c r="E887" s="7">
        <v>1.12438510189739E-2</v>
      </c>
      <c r="AF887" t="str">
        <v>Staff: Yasuyuki Kosaka (Original Creator)</v>
      </c>
    </row>
    <row r="888" spans="1:32" x14ac:dyDescent="0.3">
      <c r="A888" t="s">
        <v>740</v>
      </c>
      <c r="B888" s="5">
        <v>80</v>
      </c>
      <c r="C888" s="9">
        <v>1</v>
      </c>
      <c r="D888" s="6">
        <v>1.4054813773717499E-4</v>
      </c>
      <c r="E888" s="7">
        <v>1.12438510189739E-2</v>
      </c>
      <c r="AF888" t="str">
        <v>Staff: Takaharu Ookuma (Director)</v>
      </c>
    </row>
    <row r="889" spans="1:32" x14ac:dyDescent="0.3">
      <c r="A889" t="s">
        <v>812</v>
      </c>
      <c r="B889" s="5">
        <v>80</v>
      </c>
      <c r="C889" s="9">
        <v>1</v>
      </c>
      <c r="D889" s="6">
        <v>1.4054813773717499E-4</v>
      </c>
      <c r="E889" s="7">
        <v>1.12438510189739E-2</v>
      </c>
      <c r="AF889" t="str">
        <v>Staff: Hiroyuki Ogura (Fishing Gear Prop Design)</v>
      </c>
    </row>
    <row r="890" spans="1:32" x14ac:dyDescent="0.3">
      <c r="A890" t="s">
        <v>814</v>
      </c>
      <c r="B890" s="5">
        <v>80</v>
      </c>
      <c r="C890" s="9">
        <v>1</v>
      </c>
      <c r="D890" s="6">
        <v>1.4054813773717499E-4</v>
      </c>
      <c r="E890" s="7">
        <v>1.12438510189739E-2</v>
      </c>
      <c r="AF890" t="str">
        <v>Staff: Katsuhiro Kumagai (Chief Animation Director)</v>
      </c>
    </row>
    <row r="891" spans="1:32" x14ac:dyDescent="0.3">
      <c r="A891" t="s">
        <v>815</v>
      </c>
      <c r="B891" s="5">
        <v>80</v>
      </c>
      <c r="C891" s="9">
        <v>1</v>
      </c>
      <c r="D891" s="6">
        <v>1.4054813773717499E-4</v>
      </c>
      <c r="E891" s="7">
        <v>1.12438510189739E-2</v>
      </c>
      <c r="AF891" t="str">
        <v>Staff: Kyouko Nagata (Prop Design)</v>
      </c>
    </row>
    <row r="892" spans="1:32" x14ac:dyDescent="0.3">
      <c r="A892" t="s">
        <v>816</v>
      </c>
      <c r="B892" s="5">
        <v>80</v>
      </c>
      <c r="C892" s="9">
        <v>1</v>
      </c>
      <c r="D892" s="6">
        <v>1.4054813773717499E-4</v>
      </c>
      <c r="E892" s="7">
        <v>1.12438510189739E-2</v>
      </c>
      <c r="AF892" t="str">
        <v>Staff: Atsushi Soga (Chief Animation Director)</v>
      </c>
    </row>
    <row r="893" spans="1:32" x14ac:dyDescent="0.3">
      <c r="A893" t="s">
        <v>817</v>
      </c>
      <c r="B893" s="5">
        <v>80</v>
      </c>
      <c r="C893" s="9">
        <v>1</v>
      </c>
      <c r="D893" s="6">
        <v>1.4054813773717499E-4</v>
      </c>
      <c r="E893" s="7">
        <v>1.12438510189739E-2</v>
      </c>
      <c r="AF893" t="str">
        <v>Staff: Keiko Ichihara (Chief Animation Director)</v>
      </c>
    </row>
    <row r="894" spans="1:32" x14ac:dyDescent="0.3">
      <c r="A894" t="s">
        <v>818</v>
      </c>
      <c r="B894" s="5">
        <v>80</v>
      </c>
      <c r="C894" s="9">
        <v>1</v>
      </c>
      <c r="D894" s="6">
        <v>1.4054813773717499E-4</v>
      </c>
      <c r="E894" s="7">
        <v>1.12438510189739E-2</v>
      </c>
      <c r="AF894" t="str">
        <v>Staff: Emi Onodera (Editing)</v>
      </c>
    </row>
    <row r="895" spans="1:32" x14ac:dyDescent="0.3">
      <c r="A895" t="s">
        <v>819</v>
      </c>
      <c r="B895" s="5">
        <v>80</v>
      </c>
      <c r="C895" s="9">
        <v>1</v>
      </c>
      <c r="D895" s="6">
        <v>1.4054813773717499E-4</v>
      </c>
      <c r="E895" s="7">
        <v>1.12438510189739E-2</v>
      </c>
      <c r="AF895" t="str">
        <v>Staff: Junichi Higashi (Art Design)</v>
      </c>
    </row>
    <row r="896" spans="1:32" x14ac:dyDescent="0.3">
      <c r="A896" t="s">
        <v>846</v>
      </c>
      <c r="B896" s="5">
        <v>80</v>
      </c>
      <c r="C896" s="9">
        <v>1</v>
      </c>
      <c r="D896" s="6">
        <v>1.4054813773717499E-4</v>
      </c>
      <c r="E896" s="7">
        <v>1.12438510189739E-2</v>
      </c>
      <c r="AF896" t="str">
        <v>Staff: Genta Makabe (Color Design)</v>
      </c>
    </row>
    <row r="897" spans="1:32" x14ac:dyDescent="0.3">
      <c r="A897" t="s">
        <v>848</v>
      </c>
      <c r="B897" s="5">
        <v>80</v>
      </c>
      <c r="C897" s="9">
        <v>1</v>
      </c>
      <c r="D897" s="6">
        <v>1.4054813773717499E-4</v>
      </c>
      <c r="E897" s="7">
        <v>1.12438510189739E-2</v>
      </c>
      <c r="AF897" t="str">
        <v>Staff: Miki Sakurai (Music)</v>
      </c>
    </row>
    <row r="898" spans="1:32" x14ac:dyDescent="0.3">
      <c r="A898" t="s">
        <v>849</v>
      </c>
      <c r="B898" s="5">
        <v>80</v>
      </c>
      <c r="C898" s="9">
        <v>1</v>
      </c>
      <c r="D898" s="6">
        <v>1.4054813773717499E-4</v>
      </c>
      <c r="E898" s="7">
        <v>1.12438510189739E-2</v>
      </c>
      <c r="AF898" t="str">
        <v>Staff: Yuuta Sakashita (Art Director)</v>
      </c>
    </row>
    <row r="899" spans="1:32" x14ac:dyDescent="0.3">
      <c r="A899" t="s">
        <v>859</v>
      </c>
      <c r="B899" s="5">
        <v>80</v>
      </c>
      <c r="C899" s="9">
        <v>1</v>
      </c>
      <c r="D899" s="6">
        <v>1.4054813773717499E-4</v>
      </c>
      <c r="E899" s="7">
        <v>1.12438510189739E-2</v>
      </c>
      <c r="AF899" t="str">
        <v>Staff: Austin Sisk (ADR Prep (English))</v>
      </c>
    </row>
    <row r="900" spans="1:32" x14ac:dyDescent="0.3">
      <c r="A900" t="s">
        <v>860</v>
      </c>
      <c r="B900" s="5">
        <v>80</v>
      </c>
      <c r="C900" s="9">
        <v>1</v>
      </c>
      <c r="D900" s="6">
        <v>1.4054813773717499E-4</v>
      </c>
      <c r="E900" s="7">
        <v>1.12438510189739E-2</v>
      </c>
      <c r="AF900" t="str">
        <v>Staff: Jonathan Klein (ADR Director (English))</v>
      </c>
    </row>
    <row r="901" spans="1:32" x14ac:dyDescent="0.3">
      <c r="A901" t="s">
        <v>861</v>
      </c>
      <c r="B901" s="5">
        <v>80</v>
      </c>
      <c r="C901" s="9">
        <v>1</v>
      </c>
      <c r="D901" s="6">
        <v>1.4054813773717499E-4</v>
      </c>
      <c r="E901" s="7">
        <v>1.12438510189739E-2</v>
      </c>
      <c r="AF901" t="str">
        <v>Staff: Satomi Akesaka (Theme Song Performance (OP, ED))</v>
      </c>
    </row>
    <row r="902" spans="1:32" x14ac:dyDescent="0.3">
      <c r="A902" t="s">
        <v>863</v>
      </c>
      <c r="B902" s="5">
        <v>80</v>
      </c>
      <c r="C902" s="9">
        <v>1</v>
      </c>
      <c r="D902" s="6">
        <v>1.4054813773717499E-4</v>
      </c>
      <c r="E902" s="7">
        <v>1.12438510189739E-2</v>
      </c>
      <c r="AF902" t="str">
        <v>Staff: Natsumi Kawaida (Theme Song Performance (OP, ED))</v>
      </c>
    </row>
    <row r="903" spans="1:32" x14ac:dyDescent="0.3">
      <c r="A903" t="s">
        <v>864</v>
      </c>
      <c r="B903" s="5">
        <v>80</v>
      </c>
      <c r="C903" s="9">
        <v>1</v>
      </c>
      <c r="D903" s="6">
        <v>1.4054813773717499E-4</v>
      </c>
      <c r="E903" s="7">
        <v>1.12438510189739E-2</v>
      </c>
      <c r="AF903" t="str">
        <v>Staff: Yuu Sasahara (Theme Song Performance (OP, ED))</v>
      </c>
    </row>
    <row r="904" spans="1:32" x14ac:dyDescent="0.3">
      <c r="A904" t="s">
        <v>936</v>
      </c>
      <c r="B904" s="5">
        <v>80</v>
      </c>
      <c r="C904" s="9">
        <v>1</v>
      </c>
      <c r="D904" s="6">
        <v>1.4054813773717499E-4</v>
      </c>
      <c r="E904" s="7">
        <v>1.12438510189739E-2</v>
      </c>
      <c r="AF904" t="str">
        <v>Staff: Kanon Takao (Theme Song Performance (OP, ED))</v>
      </c>
    </row>
    <row r="905" spans="1:32" x14ac:dyDescent="0.3">
      <c r="A905" t="s">
        <v>937</v>
      </c>
      <c r="B905" s="5">
        <v>80</v>
      </c>
      <c r="C905" s="9">
        <v>1</v>
      </c>
      <c r="D905" s="6">
        <v>1.4054813773717499E-4</v>
      </c>
      <c r="E905" s="7">
        <v>1.12438510189739E-2</v>
      </c>
      <c r="AF905" t="str">
        <v>Staff: ZAI-ON (Theme Song Composition (OP, ED))</v>
      </c>
    </row>
    <row r="906" spans="1:32" x14ac:dyDescent="0.3">
      <c r="A906" t="s">
        <v>938</v>
      </c>
      <c r="B906" s="5">
        <v>80</v>
      </c>
      <c r="C906" s="9">
        <v>1</v>
      </c>
      <c r="D906" s="6">
        <v>1.4054813773717499E-4</v>
      </c>
      <c r="E906" s="7">
        <v>1.12438510189739E-2</v>
      </c>
      <c r="AF906" t="str">
        <v>Staff: Hiroya Oku (Original Creator)</v>
      </c>
    </row>
    <row r="907" spans="1:32" x14ac:dyDescent="0.3">
      <c r="A907" t="s">
        <v>939</v>
      </c>
      <c r="B907" s="5">
        <v>80</v>
      </c>
      <c r="C907" s="9">
        <v>1</v>
      </c>
      <c r="D907" s="6">
        <v>1.4054813773717499E-4</v>
      </c>
      <c r="E907" s="7">
        <v>1.12438510189739E-2</v>
      </c>
      <c r="AF907" t="str">
        <v>Staff: Keiichi Satou (Chief Director)</v>
      </c>
    </row>
    <row r="908" spans="1:32" x14ac:dyDescent="0.3">
      <c r="A908" t="s">
        <v>940</v>
      </c>
      <c r="B908" s="5">
        <v>80</v>
      </c>
      <c r="C908" s="9">
        <v>1</v>
      </c>
      <c r="D908" s="6">
        <v>1.4054813773717499E-4</v>
      </c>
      <c r="E908" s="7">
        <v>1.12438510189739E-2</v>
      </c>
      <c r="AF908" t="str">
        <v>Staff: Shuuhei Yabuta (Director)</v>
      </c>
    </row>
    <row r="909" spans="1:32" x14ac:dyDescent="0.3">
      <c r="A909" t="s">
        <v>941</v>
      </c>
      <c r="B909" s="5">
        <v>80</v>
      </c>
      <c r="C909" s="9">
        <v>1</v>
      </c>
      <c r="D909" s="6">
        <v>1.4054813773717499E-4</v>
      </c>
      <c r="E909" s="7">
        <v>1.12438510189739E-2</v>
      </c>
      <c r="AF909" t="str">
        <v>Staff: Hiroshi Seko (Series Composition)</v>
      </c>
    </row>
    <row r="910" spans="1:32" x14ac:dyDescent="0.3">
      <c r="A910" t="s">
        <v>942</v>
      </c>
      <c r="B910" s="5">
        <v>80</v>
      </c>
      <c r="C910" s="9">
        <v>1</v>
      </c>
      <c r="D910" s="6">
        <v>1.4054813773717499E-4</v>
      </c>
      <c r="E910" s="7">
        <v>1.12438510189739E-2</v>
      </c>
      <c r="AF910" t="str">
        <v>Staff: Hiroshi Seko (Script)</v>
      </c>
    </row>
    <row r="911" spans="1:32" x14ac:dyDescent="0.3">
      <c r="A911" t="s">
        <v>943</v>
      </c>
      <c r="B911" s="5">
        <v>80</v>
      </c>
      <c r="C911" s="9">
        <v>1</v>
      </c>
      <c r="D911" s="6">
        <v>1.4054813773717499E-4</v>
      </c>
      <c r="E911" s="7">
        <v>1.12438510189739E-2</v>
      </c>
      <c r="AF911" t="str">
        <v>Staff: Naoyuki Onda (Character Design)</v>
      </c>
    </row>
    <row r="912" spans="1:32" x14ac:dyDescent="0.3">
      <c r="A912" t="s">
        <v>944</v>
      </c>
      <c r="B912" s="5">
        <v>80</v>
      </c>
      <c r="C912" s="9">
        <v>1</v>
      </c>
      <c r="D912" s="6">
        <v>1.4054813773717499E-4</v>
      </c>
      <c r="E912" s="7">
        <v>1.12438510189739E-2</v>
      </c>
      <c r="AF912" t="str">
        <v>Staff: MAN WITH A MISSION (Theme Song Performance (OP))</v>
      </c>
    </row>
    <row r="913" spans="1:32" x14ac:dyDescent="0.3">
      <c r="A913" t="s">
        <v>945</v>
      </c>
      <c r="B913" s="5">
        <v>80</v>
      </c>
      <c r="C913" s="9">
        <v>1</v>
      </c>
      <c r="D913" s="6">
        <v>1.4054813773717499E-4</v>
      </c>
      <c r="E913" s="7">
        <v>1.12438510189739E-2</v>
      </c>
      <c r="AF913" t="str">
        <v>Staff:  Qaijff (Theme Song Performance (ED))</v>
      </c>
    </row>
    <row r="914" spans="1:32" x14ac:dyDescent="0.3">
      <c r="A914" t="s">
        <v>946</v>
      </c>
      <c r="B914" s="5">
        <v>80</v>
      </c>
      <c r="C914" s="9">
        <v>1</v>
      </c>
      <c r="D914" s="6">
        <v>1.4054813773717499E-4</v>
      </c>
      <c r="E914" s="7">
        <v>1.12438510189739E-2</v>
      </c>
      <c r="AF914" t="str">
        <v>Staff: Hideki Nakamura (Art Director)</v>
      </c>
    </row>
    <row r="915" spans="1:32" x14ac:dyDescent="0.3">
      <c r="A915" t="s">
        <v>947</v>
      </c>
      <c r="B915" s="5">
        <v>80</v>
      </c>
      <c r="C915" s="9">
        <v>1</v>
      </c>
      <c r="D915" s="6">
        <v>1.4054813773717499E-4</v>
      </c>
      <c r="E915" s="7">
        <v>1.12438510189739E-2</v>
      </c>
      <c r="AF915" t="str">
        <v>Staff: Kouji Haneda (Chief Animation Director (eps 2, 5, 7, 9-11))</v>
      </c>
    </row>
    <row r="916" spans="1:32" x14ac:dyDescent="0.3">
      <c r="A916" t="s">
        <v>948</v>
      </c>
      <c r="B916" s="5">
        <v>80</v>
      </c>
      <c r="C916" s="9">
        <v>1</v>
      </c>
      <c r="D916" s="6">
        <v>1.4054813773717499E-4</v>
      </c>
      <c r="E916" s="7">
        <v>1.12438510189739E-2</v>
      </c>
      <c r="AF916" t="str">
        <v>Staff: Kiyoshi Hirose (Editing)</v>
      </c>
    </row>
    <row r="917" spans="1:32" x14ac:dyDescent="0.3">
      <c r="A917" t="s">
        <v>949</v>
      </c>
      <c r="B917" s="5">
        <v>80</v>
      </c>
      <c r="C917" s="9">
        <v>1</v>
      </c>
      <c r="D917" s="6">
        <v>1.4054813773717499E-4</v>
      </c>
      <c r="E917" s="7">
        <v>1.12438510189739E-2</v>
      </c>
      <c r="AF917" t="str">
        <v>Staff: Naoyuki Onda (Chief Animation Director (eps 7, 11))</v>
      </c>
    </row>
    <row r="918" spans="1:32" x14ac:dyDescent="0.3">
      <c r="A918" t="s">
        <v>950</v>
      </c>
      <c r="B918" s="5">
        <v>80</v>
      </c>
      <c r="C918" s="9">
        <v>1</v>
      </c>
      <c r="D918" s="6">
        <v>1.4054813773717499E-4</v>
      </c>
      <c r="E918" s="7">
        <v>1.12438510189739E-2</v>
      </c>
      <c r="AF918" t="str">
        <v>Staff: Kenji Hayama (Chief Animation Director (eps 3, 6, 7, 9-11))</v>
      </c>
    </row>
    <row r="919" spans="1:32" x14ac:dyDescent="0.3">
      <c r="A919" t="s">
        <v>951</v>
      </c>
      <c r="B919" s="5">
        <v>80</v>
      </c>
      <c r="C919" s="9">
        <v>1</v>
      </c>
      <c r="D919" s="6">
        <v>1.4054813773717499E-4</v>
      </c>
      <c r="E919" s="7">
        <v>1.12438510189739E-2</v>
      </c>
      <c r="AF919" t="str">
        <v>Staff: Hiromune Kurahashi (Sound Effects)</v>
      </c>
    </row>
    <row r="920" spans="1:32" x14ac:dyDescent="0.3">
      <c r="A920" t="s">
        <v>952</v>
      </c>
      <c r="B920" s="5">
        <v>80</v>
      </c>
      <c r="C920" s="9">
        <v>1</v>
      </c>
      <c r="D920" s="6">
        <v>1.4054813773717499E-4</v>
      </c>
      <c r="E920" s="7">
        <v>1.12438510189739E-2</v>
      </c>
      <c r="AF920" t="str">
        <v>Staff: Shinpei Kamata (Chief Animation Director (eps 1, 4, 8-11))</v>
      </c>
    </row>
    <row r="921" spans="1:32" x14ac:dyDescent="0.3">
      <c r="A921" t="s">
        <v>953</v>
      </c>
      <c r="B921" s="5">
        <v>80</v>
      </c>
      <c r="C921" s="9">
        <v>1</v>
      </c>
      <c r="D921" s="6">
        <v>1.4054813773717499E-4</v>
      </c>
      <c r="E921" s="7">
        <v>1.12438510189739E-2</v>
      </c>
      <c r="AF921" t="str">
        <v>Staff: Atsuhiro Iwakami (Production)</v>
      </c>
    </row>
    <row r="922" spans="1:32" x14ac:dyDescent="0.3">
      <c r="A922" t="s">
        <v>968</v>
      </c>
      <c r="B922" s="5">
        <v>80</v>
      </c>
      <c r="C922" s="9">
        <v>1</v>
      </c>
      <c r="D922" s="6">
        <v>1.4054813773717499E-4</v>
      </c>
      <c r="E922" s="7">
        <v>1.12438510189739E-2</v>
      </c>
      <c r="AF922" t="str">
        <v>Staff: Makoto Yamaguchi (Production)</v>
      </c>
    </row>
    <row r="923" spans="1:32" x14ac:dyDescent="0.3">
      <c r="A923" t="s">
        <v>969</v>
      </c>
      <c r="B923" s="5">
        <v>80</v>
      </c>
      <c r="C923" s="9">
        <v>1</v>
      </c>
      <c r="D923" s="6">
        <v>1.4054813773717499E-4</v>
      </c>
      <c r="E923" s="7">
        <v>1.12438510189739E-2</v>
      </c>
      <c r="AF923" t="str">
        <v>Staff: Yuusuke Muranaka (Production)</v>
      </c>
    </row>
    <row r="924" spans="1:32" x14ac:dyDescent="0.3">
      <c r="A924" t="s">
        <v>970</v>
      </c>
      <c r="B924" s="5">
        <v>80</v>
      </c>
      <c r="C924" s="9">
        <v>1</v>
      </c>
      <c r="D924" s="6">
        <v>1.4054813773717499E-4</v>
      </c>
      <c r="E924" s="7">
        <v>1.12438510189739E-2</v>
      </c>
      <c r="AF924" t="str">
        <v>Staff: Osamu Yoshiba (Production)</v>
      </c>
    </row>
    <row r="925" spans="1:32" x14ac:dyDescent="0.3">
      <c r="A925" t="s">
        <v>971</v>
      </c>
      <c r="B925" s="5">
        <v>80</v>
      </c>
      <c r="C925" s="9">
        <v>1</v>
      </c>
      <c r="D925" s="6">
        <v>1.4054813773717499E-4</v>
      </c>
      <c r="E925" s="7">
        <v>1.12438510189739E-2</v>
      </c>
      <c r="AF925" t="str">
        <v>Staff: Yukiko Takase (Chief Producer)</v>
      </c>
    </row>
    <row r="926" spans="1:32" x14ac:dyDescent="0.3">
      <c r="A926" t="s">
        <v>972</v>
      </c>
      <c r="B926" s="5">
        <v>80</v>
      </c>
      <c r="C926" s="9">
        <v>1</v>
      </c>
      <c r="D926" s="6">
        <v>1.4054813773717499E-4</v>
      </c>
      <c r="E926" s="7">
        <v>1.12438510189739E-2</v>
      </c>
      <c r="AF926" t="str">
        <v>Staff: Masanori Miyake (Chief Producer)</v>
      </c>
    </row>
    <row r="927" spans="1:32" x14ac:dyDescent="0.3">
      <c r="A927" t="s">
        <v>973</v>
      </c>
      <c r="B927" s="5">
        <v>80</v>
      </c>
      <c r="C927" s="9">
        <v>1</v>
      </c>
      <c r="D927" s="6">
        <v>1.4054813773717499E-4</v>
      </c>
      <c r="E927" s="7">
        <v>1.12438510189739E-2</v>
      </c>
      <c r="AF927" t="str">
        <v>Staff: Taku Matsuo (Producer)</v>
      </c>
    </row>
    <row r="928" spans="1:32" x14ac:dyDescent="0.3">
      <c r="A928" t="s">
        <v>975</v>
      </c>
      <c r="B928" s="5">
        <v>80</v>
      </c>
      <c r="C928" s="9">
        <v>1</v>
      </c>
      <c r="D928" s="6">
        <v>1.4054813773717499E-4</v>
      </c>
      <c r="E928" s="7">
        <v>1.12438510189739E-2</v>
      </c>
      <c r="AF928" t="str">
        <v>Staff: Kakifly  (Original Creator)</v>
      </c>
    </row>
    <row r="929" spans="1:32" x14ac:dyDescent="0.3">
      <c r="A929" t="s">
        <v>988</v>
      </c>
      <c r="B929" s="5">
        <v>80</v>
      </c>
      <c r="C929" s="9">
        <v>1</v>
      </c>
      <c r="D929" s="6">
        <v>1.4054813773717499E-4</v>
      </c>
      <c r="E929" s="7">
        <v>1.12438510189739E-2</v>
      </c>
      <c r="AF929" t="str">
        <v>Staff: Naoko Yamada (Director)</v>
      </c>
    </row>
    <row r="930" spans="1:32" x14ac:dyDescent="0.3">
      <c r="A930" t="s">
        <v>990</v>
      </c>
      <c r="B930" s="5">
        <v>80</v>
      </c>
      <c r="C930" s="9">
        <v>1</v>
      </c>
      <c r="D930" s="6">
        <v>1.4054813773717499E-4</v>
      </c>
      <c r="E930" s="7">
        <v>1.12438510189739E-2</v>
      </c>
      <c r="AF930" t="str">
        <v>Staff: Yukiko Horiguchi (Character Design)</v>
      </c>
    </row>
    <row r="931" spans="1:32" x14ac:dyDescent="0.3">
      <c r="A931" t="str">
        <f>HYPERLINK("https://anilist.co/staff/208004","Staff: Mizuo Furuya (Key Animation (OP, ep 1))")</f>
        <v>Staff: Mizuo Furuya (Key Animation (OP, ep 1))</v>
      </c>
      <c r="B931" s="5">
        <v>80</v>
      </c>
      <c r="C931" s="9">
        <v>1</v>
      </c>
      <c r="D931" s="6">
        <v>1.4054813773717499E-4</v>
      </c>
      <c r="E931" s="7">
        <v>1.12438510189739E-2</v>
      </c>
      <c r="AF931" t="str">
        <v>Staff: Yukiko Horiguchi (Chief Animation Director)</v>
      </c>
    </row>
    <row r="932" spans="1:32" x14ac:dyDescent="0.3">
      <c r="A932" t="str">
        <f>HYPERLINK("https://anilist.co/staff/123297","Staff: Rin Suzukawa (Original Creator)")</f>
        <v>Staff: Rin Suzukawa (Original Creator)</v>
      </c>
      <c r="B932" s="5">
        <v>80</v>
      </c>
      <c r="C932" s="9">
        <v>1</v>
      </c>
      <c r="D932" s="6">
        <v>1.4054813773717499E-4</v>
      </c>
      <c r="E932" s="7">
        <v>1.12438510189739E-2</v>
      </c>
      <c r="AF932" t="str">
        <v>Staff: Hiroyuki Takahashi (Musical Instrument Design)</v>
      </c>
    </row>
    <row r="933" spans="1:32" x14ac:dyDescent="0.3">
      <c r="A933" t="str">
        <f>HYPERLINK("https://anilist.co/staff/101909","Staff: Seiji Kishi (Director)")</f>
        <v>Staff: Seiji Kishi (Director)</v>
      </c>
      <c r="B933" s="5">
        <v>80</v>
      </c>
      <c r="C933" s="9">
        <v>1</v>
      </c>
      <c r="D933" s="6">
        <v>1.4054813773717499E-4</v>
      </c>
      <c r="E933" s="7">
        <v>1.12438510189739E-2</v>
      </c>
      <c r="AF933" t="str">
        <v>Staff: Hiroyuki Takahashi (Musical Instrument Animation Director)</v>
      </c>
    </row>
    <row r="934" spans="1:32" x14ac:dyDescent="0.3">
      <c r="A934" t="str">
        <f>HYPERLINK("https://anilist.co/staff/120988","Staff: Keiko Kurosawa (Character Design)")</f>
        <v>Staff: Keiko Kurosawa (Character Design)</v>
      </c>
      <c r="B934" s="5">
        <v>80</v>
      </c>
      <c r="C934" s="9">
        <v>1</v>
      </c>
      <c r="D934" s="6">
        <v>1.4054813773717499E-4</v>
      </c>
      <c r="E934" s="7">
        <v>1.12438510189739E-2</v>
      </c>
      <c r="AF934" t="str">
        <v>Staff: Aki Toyosaki (Theme Song Performance (OP, ED))</v>
      </c>
    </row>
    <row r="935" spans="1:32" x14ac:dyDescent="0.3">
      <c r="A935" t="str">
        <f>HYPERLINK("https://anilist.co/staff/125165","Staff: Yuu Kinome (Assistant Director)")</f>
        <v>Staff: Yuu Kinome (Assistant Director)</v>
      </c>
      <c r="B935" s="5">
        <v>80</v>
      </c>
      <c r="C935" s="9">
        <v>1</v>
      </c>
      <c r="D935" s="6">
        <v>1.4054813773717499E-4</v>
      </c>
      <c r="E935" s="7">
        <v>1.12438510189739E-2</v>
      </c>
      <c r="AF935" t="str">
        <v>Staff: Ho-kago Tea Time  (Theme Song Performance (OP, ED))</v>
      </c>
    </row>
    <row r="936" spans="1:32" x14ac:dyDescent="0.3">
      <c r="A936" t="str">
        <f>HYPERLINK("https://anilist.co/staff/121961","Staff: Konomi Kohara (Theme Song Performance (OP, ED))")</f>
        <v>Staff: Konomi Kohara (Theme Song Performance (OP, ED))</v>
      </c>
      <c r="B936" s="5">
        <v>80</v>
      </c>
      <c r="C936" s="9">
        <v>1</v>
      </c>
      <c r="D936" s="6">
        <v>1.4054813773717499E-4</v>
      </c>
      <c r="E936" s="7">
        <v>1.12438510189739E-2</v>
      </c>
      <c r="AF936" t="str">
        <v>Staff: Satomi Satou (Theme Song Performance (OP, ED))</v>
      </c>
    </row>
    <row r="937" spans="1:32" x14ac:dyDescent="0.3">
      <c r="A937" t="str">
        <f>HYPERLINK("https://anilist.co/staff/119822","Staff: Hina Kino (Theme Song Performance (OP, ED))")</f>
        <v>Staff: Hina Kino (Theme Song Performance (OP, ED))</v>
      </c>
      <c r="B937" s="5">
        <v>80</v>
      </c>
      <c r="C937" s="9">
        <v>1</v>
      </c>
      <c r="D937" s="6">
        <v>1.4054813773717499E-4</v>
      </c>
      <c r="E937" s="7">
        <v>1.12438510189739E-2</v>
      </c>
      <c r="AF937" t="str">
        <v>Staff: Minako Kotobuki (Theme Song Performance (OP, ED))</v>
      </c>
    </row>
    <row r="938" spans="1:32" x14ac:dyDescent="0.3">
      <c r="A938" t="str">
        <f>HYPERLINK("https://anilist.co/staff/121489","Staff: Rika Nagae (Theme Song Performance (OP, ED))")</f>
        <v>Staff: Rika Nagae (Theme Song Performance (OP, ED))</v>
      </c>
      <c r="B938" s="5">
        <v>80</v>
      </c>
      <c r="C938" s="9">
        <v>1</v>
      </c>
      <c r="D938" s="6">
        <v>1.4054813773717499E-4</v>
      </c>
      <c r="E938" s="7">
        <v>1.12438510189739E-2</v>
      </c>
      <c r="AF938" t="str">
        <v>Staff: Youko Hikasa (Theme Song Performance (OP, ED))</v>
      </c>
    </row>
    <row r="939" spans="1:32" x14ac:dyDescent="0.3">
      <c r="A939" t="str">
        <f>HYPERLINK("https://anilist.co/staff/137912","Staff: Shinyo Kondou (Director of Photography)")</f>
        <v>Staff: Shinyo Kondou (Director of Photography)</v>
      </c>
      <c r="B939" s="5">
        <v>80</v>
      </c>
      <c r="C939" s="9">
        <v>1</v>
      </c>
      <c r="D939" s="6">
        <v>1.4054813773717499E-4</v>
      </c>
      <c r="E939" s="7">
        <v>1.12438510189739E-2</v>
      </c>
      <c r="AF939" t="str">
        <v>Staff: Shigeo Komori (Theme Song Arrangment (ED))</v>
      </c>
    </row>
    <row r="940" spans="1:32" x14ac:dyDescent="0.3">
      <c r="A940" t="str">
        <f>HYPERLINK("https://anilist.co/staff/137913","Staff: Mamiko Nakanishi (Key Animation (ep 8))")</f>
        <v>Staff: Mamiko Nakanishi (Key Animation (ep 8))</v>
      </c>
      <c r="B940" s="5">
        <v>80</v>
      </c>
      <c r="C940" s="9">
        <v>1</v>
      </c>
      <c r="D940" s="6">
        <v>1.4054813773717499E-4</v>
      </c>
      <c r="E940" s="7">
        <v>1.12438510189739E-2</v>
      </c>
      <c r="AF940" t="str">
        <v>Staff: Tomohiro Ooshima (Theme Song Arrangement (OP))</v>
      </c>
    </row>
    <row r="941" spans="1:32" x14ac:dyDescent="0.3">
      <c r="A941" t="str">
        <f>HYPERLINK("https://anilist.co/staff/137914","Staff: Mani Inaka (Key Animation (eps 8-11))")</f>
        <v>Staff: Mani Inaka (Key Animation (eps 8-11))</v>
      </c>
      <c r="B941" s="5">
        <v>80</v>
      </c>
      <c r="C941" s="9">
        <v>1</v>
      </c>
      <c r="D941" s="6">
        <v>1.4054813773717499E-4</v>
      </c>
      <c r="E941" s="7">
        <v>1.12438510189739E-2</v>
      </c>
      <c r="AF941" t="str">
        <v>Staff: Ho-kago Tea Time  (Insert Song Performance (eps 6, 8, 12))</v>
      </c>
    </row>
    <row r="942" spans="1:32" x14ac:dyDescent="0.3">
      <c r="A942" t="str">
        <f>HYPERLINK("https://anilist.co/staff/132700","Staff: Sakiko Itou (Color Design)")</f>
        <v>Staff: Sakiko Itou (Color Design)</v>
      </c>
      <c r="B942" s="5">
        <v>80</v>
      </c>
      <c r="C942" s="9">
        <v>1</v>
      </c>
      <c r="D942" s="6">
        <v>1.4054813773717499E-4</v>
      </c>
      <c r="E942" s="7">
        <v>1.12438510189739E-2</v>
      </c>
      <c r="AF942" t="str">
        <v>Staff: Tomohiro Ooshima (Theme Song Composition (OP))</v>
      </c>
    </row>
    <row r="943" spans="1:32" x14ac:dyDescent="0.3">
      <c r="A943" t="str">
        <f>HYPERLINK("https://anilist.co/staff/120988","Staff: Keiko Kurosawa (Chief Animation Director)")</f>
        <v>Staff: Keiko Kurosawa (Chief Animation Director)</v>
      </c>
      <c r="B943" s="5">
        <v>80</v>
      </c>
      <c r="C943" s="9">
        <v>1</v>
      </c>
      <c r="D943" s="6">
        <v>1.4054813773717499E-4</v>
      </c>
      <c r="E943" s="7">
        <v>1.12438510189739E-2</v>
      </c>
      <c r="AF943" t="str">
        <v>Staff: Shigeo Komori (Music Producer)</v>
      </c>
    </row>
    <row r="944" spans="1:32" x14ac:dyDescent="0.3">
      <c r="A944" t="str">
        <f>HYPERLINK("https://anilist.co/staff/121855","Staff: Nobuhito Sue (Art Design)")</f>
        <v>Staff: Nobuhito Sue (Art Design)</v>
      </c>
      <c r="B944" s="5">
        <v>80</v>
      </c>
      <c r="C944" s="9">
        <v>1</v>
      </c>
      <c r="D944" s="6">
        <v>1.4054813773717499E-4</v>
      </c>
      <c r="E944" s="7">
        <v>1.12438510189739E-2</v>
      </c>
      <c r="AF944" t="str">
        <v>Staff: Seiki Tamura (Art Director)</v>
      </c>
    </row>
    <row r="945" spans="1:32" x14ac:dyDescent="0.3">
      <c r="A945" t="str">
        <f>HYPERLINK("https://anilist.co/staff/147496","Staff: Masaki Sakamoto (Editing)")</f>
        <v>Staff: Masaki Sakamoto (Editing)</v>
      </c>
      <c r="B945" s="5">
        <v>80</v>
      </c>
      <c r="C945" s="9">
        <v>1</v>
      </c>
      <c r="D945" s="6">
        <v>1.4054813773717499E-4</v>
      </c>
      <c r="E945" s="7">
        <v>1.12438510189739E-2</v>
      </c>
      <c r="AF945" t="str">
        <v>Staff: Roy (Original Story)</v>
      </c>
    </row>
    <row r="946" spans="1:32" x14ac:dyDescent="0.3">
      <c r="A946" t="str">
        <f>HYPERLINK("https://anilist.co/staff/147281","Staff: Yuki Umino (Art Director)")</f>
        <v>Staff: Yuki Umino (Art Director)</v>
      </c>
      <c r="B946" s="5">
        <v>80</v>
      </c>
      <c r="C946" s="9">
        <v>1</v>
      </c>
      <c r="D946" s="6">
        <v>1.4054813773717499E-4</v>
      </c>
      <c r="E946" s="7">
        <v>1.12438510189739E-2</v>
      </c>
      <c r="AF946" t="str">
        <v>Staff:  Ririnra (Original Character Design)</v>
      </c>
    </row>
    <row r="947" spans="1:32" x14ac:dyDescent="0.3">
      <c r="A947" t="str">
        <f>HYPERLINK("https://anilist.co/staff/110655","Staff: Yuuko Kakihara (Script)")</f>
        <v>Staff: Yuuko Kakihara (Script)</v>
      </c>
      <c r="B947" s="5">
        <v>80</v>
      </c>
      <c r="C947" s="9">
        <v>1</v>
      </c>
      <c r="D947" s="6">
        <v>1.4054813773717499E-4</v>
      </c>
      <c r="E947" s="7">
        <v>1.12438510189739E-2</v>
      </c>
      <c r="AF947" t="str">
        <v>Staff: Takeyuki Yanase (Director)</v>
      </c>
    </row>
    <row r="948" spans="1:32" x14ac:dyDescent="0.3">
      <c r="A948" t="str">
        <f>HYPERLINK("https://anilist.co/staff/148930","Staff: Yuuji Higa (Animation Producer)")</f>
        <v>Staff: Yuuji Higa (Animation Producer)</v>
      </c>
      <c r="B948" s="5">
        <v>80</v>
      </c>
      <c r="C948" s="9">
        <v>1</v>
      </c>
      <c r="D948" s="6">
        <v>1.4054813773717499E-4</v>
      </c>
      <c r="E948" s="7">
        <v>1.12438510189739E-2</v>
      </c>
      <c r="AF948" t="str">
        <v>Staff: Kaho Deguchi (Chief Animation Director)</v>
      </c>
    </row>
    <row r="949" spans="1:32" x14ac:dyDescent="0.3">
      <c r="A949" t="str">
        <f>HYPERLINK("https://anilist.co/staff/221890","Staff: Shibata Masafusa (Title Logo Design)")</f>
        <v>Staff: Shibata Masafusa (Title Logo Design)</v>
      </c>
      <c r="B949" s="5">
        <v>80</v>
      </c>
      <c r="C949" s="9">
        <v>1</v>
      </c>
      <c r="D949" s="6">
        <v>1.4054813773717499E-4</v>
      </c>
      <c r="E949" s="7">
        <v>1.12438510189739E-2</v>
      </c>
      <c r="AF949" t="str">
        <v>Staff: Kaho Deguchi (Character Design)</v>
      </c>
    </row>
    <row r="950" spans="1:32" x14ac:dyDescent="0.3">
      <c r="A950" t="str">
        <f>HYPERLINK("https://anilist.co/staff/125165","Staff: Yuu Kinome (Storyboard (OP, eps 1-12))")</f>
        <v>Staff: Yuu Kinome (Storyboard (OP, eps 1-12))</v>
      </c>
      <c r="B950" s="5">
        <v>80</v>
      </c>
      <c r="C950" s="9">
        <v>1</v>
      </c>
      <c r="D950" s="6">
        <v>1.4054813773717499E-4</v>
      </c>
      <c r="E950" s="7">
        <v>1.12438510189739E-2</v>
      </c>
      <c r="AF950" t="str">
        <v>Staff: Satoshi Shibata (Art Director)</v>
      </c>
    </row>
    <row r="951" spans="1:32" x14ac:dyDescent="0.3">
      <c r="A951" t="str">
        <f>HYPERLINK("https://anilist.co/staff/101909","Staff: Seiji Kishi (Storyboard (ED))")</f>
        <v>Staff: Seiji Kishi (Storyboard (ED))</v>
      </c>
      <c r="B951" s="5">
        <v>80</v>
      </c>
      <c r="C951" s="9">
        <v>1</v>
      </c>
      <c r="D951" s="6">
        <v>1.4054813773717499E-4</v>
      </c>
      <c r="E951" s="7">
        <v>1.12438510189739E-2</v>
      </c>
      <c r="AF951" t="str">
        <v>Staff: Hiroaki Tsutsumi (Music)</v>
      </c>
    </row>
    <row r="952" spans="1:32" x14ac:dyDescent="0.3">
      <c r="A952" t="str">
        <f>HYPERLINK("https://anilist.co/staff/152870","Staff: Akira Mano (Episode Director (ep 6))")</f>
        <v>Staff: Akira Mano (Episode Director (ep 6))</v>
      </c>
      <c r="B952" s="5">
        <v>80</v>
      </c>
      <c r="C952" s="9">
        <v>1</v>
      </c>
      <c r="D952" s="6">
        <v>1.4054813773717499E-4</v>
      </c>
      <c r="E952" s="7">
        <v>1.12438510189739E-2</v>
      </c>
      <c r="AF952" t="str">
        <v>Staff: Yukina Nomura (Director of Photography)</v>
      </c>
    </row>
    <row r="953" spans="1:32" x14ac:dyDescent="0.3">
      <c r="A953" t="str">
        <f>HYPERLINK("https://anilist.co/staff/149985","Staff: Sumito Sasaki (Episode Director (ep 11))")</f>
        <v>Staff: Sumito Sasaki (Episode Director (ep 11))</v>
      </c>
      <c r="B953" s="5">
        <v>80</v>
      </c>
      <c r="C953" s="9">
        <v>1</v>
      </c>
      <c r="D953" s="6">
        <v>1.4054813773717499E-4</v>
      </c>
      <c r="E953" s="7">
        <v>1.12438510189739E-2</v>
      </c>
      <c r="AF953" t="str">
        <v>Staff: Aki Watanabe (Color Design)</v>
      </c>
    </row>
    <row r="954" spans="1:32" x14ac:dyDescent="0.3">
      <c r="A954" t="str">
        <f>HYPERLINK("https://anilist.co/staff/108146","Staff: Ruri Miyahara (Original Creator)")</f>
        <v>Staff: Ruri Miyahara (Original Creator)</v>
      </c>
      <c r="B954" s="5">
        <v>80</v>
      </c>
      <c r="C954" s="9">
        <v>1</v>
      </c>
      <c r="D954" s="6">
        <v>1.4054813773717499E-4</v>
      </c>
      <c r="E954" s="7">
        <v>1.12438510189739E-2</v>
      </c>
      <c r="AF954" t="str">
        <v>Staff: Azusa Tadokoro (Theme Song Performance (OP))</v>
      </c>
    </row>
    <row r="955" spans="1:32" x14ac:dyDescent="0.3">
      <c r="A955" t="str">
        <f>HYPERLINK("https://anilist.co/staff/105578","Staff: Shigeyuki Miya (Director)")</f>
        <v>Staff: Shigeyuki Miya (Director)</v>
      </c>
      <c r="B955" s="5">
        <v>80</v>
      </c>
      <c r="C955" s="9">
        <v>1</v>
      </c>
      <c r="D955" s="6">
        <v>1.4054813773717499E-4</v>
      </c>
      <c r="E955" s="7">
        <v>1.12438510189739E-2</v>
      </c>
      <c r="AF955" t="str">
        <v>Staff: MindaRyn (Theme Song Performance (ED))</v>
      </c>
    </row>
    <row r="956" spans="1:32" x14ac:dyDescent="0.3">
      <c r="A956" t="str">
        <f>HYPERLINK("https://anilist.co/staff/109045","Staff: Akito Matsuda (Music)")</f>
        <v>Staff: Akito Matsuda (Music)</v>
      </c>
      <c r="B956" s="5">
        <v>80</v>
      </c>
      <c r="C956" s="9">
        <v>1</v>
      </c>
      <c r="D956" s="6">
        <v>1.4054813773717499E-4</v>
      </c>
      <c r="E956" s="7">
        <v>1.12438510189739E-2</v>
      </c>
      <c r="AF956" t="str">
        <v>Staff: William Dewell (Mix Engineer (English))</v>
      </c>
    </row>
    <row r="957" spans="1:32" x14ac:dyDescent="0.3">
      <c r="A957" t="str">
        <f>HYPERLINK("https://anilist.co/staff/118915","Staff: fhána (Theme Song Performance (OP))")</f>
        <v>Staff: fhána (Theme Song Performance (OP))</v>
      </c>
      <c r="B957" s="5">
        <v>80</v>
      </c>
      <c r="C957" s="9">
        <v>1</v>
      </c>
      <c r="D957" s="6">
        <v>1.4054813773717499E-4</v>
      </c>
      <c r="E957" s="7">
        <v>1.12438510189739E-2</v>
      </c>
      <c r="AF957" t="str">
        <v>Staff: Tyson Rinehart (Assistant ADR Director (English))</v>
      </c>
    </row>
    <row r="958" spans="1:32" x14ac:dyDescent="0.3">
      <c r="A958" t="str">
        <f>HYPERLINK("https://anilist.co/staff/121365","Staff: Junichi Kitamura (Key Animation (ep 2, 4, 6))")</f>
        <v>Staff: Junichi Kitamura (Key Animation (ep 2, 4, 6))</v>
      </c>
      <c r="B958" s="5">
        <v>80</v>
      </c>
      <c r="C958" s="9">
        <v>1</v>
      </c>
      <c r="D958" s="6">
        <v>1.4054813773717499E-4</v>
      </c>
      <c r="E958" s="7">
        <v>1.12438510189739E-2</v>
      </c>
      <c r="AF958" t="str">
        <v>Staff: Rickey Watkins (Lead ADR Engineer (English))</v>
      </c>
    </row>
    <row r="959" spans="1:32" x14ac:dyDescent="0.3">
      <c r="A959" t="str">
        <f>HYPERLINK("https://anilist.co/staff/119348","Staff: Kenji Konuta (Series Composition)")</f>
        <v>Staff: Kenji Konuta (Series Composition)</v>
      </c>
      <c r="B959" s="5">
        <v>80</v>
      </c>
      <c r="C959" s="9">
        <v>1</v>
      </c>
      <c r="D959" s="6">
        <v>1.4054813773717499E-4</v>
      </c>
      <c r="E959" s="7">
        <v>1.12438510189739E-2</v>
      </c>
      <c r="AF959" t="str">
        <v>Staff: Jessica Sluys (ADR Scriptwriter (English))</v>
      </c>
    </row>
    <row r="960" spans="1:32" x14ac:dyDescent="0.3">
      <c r="A960" t="str">
        <f>HYPERLINK("https://anilist.co/staff/119348","Staff: Kenji Konuta (Script)")</f>
        <v>Staff: Kenji Konuta (Script)</v>
      </c>
      <c r="B960" s="5">
        <v>80</v>
      </c>
      <c r="C960" s="9">
        <v>1</v>
      </c>
      <c r="D960" s="6">
        <v>1.4054813773717499E-4</v>
      </c>
      <c r="E960" s="7">
        <v>1.12438510189739E-2</v>
      </c>
      <c r="AF960" t="str">
        <v>Staff: Brandon Peters (ADR Prep (English))</v>
      </c>
    </row>
    <row r="961" spans="1:32" x14ac:dyDescent="0.3">
      <c r="A961" t="str">
        <f>HYPERLINK("https://anilist.co/staff/123423","Staff: Shouko Yasuda (Key Animation (ep 5))")</f>
        <v>Staff: Shouko Yasuda (Key Animation (ep 5))</v>
      </c>
      <c r="B961" s="5">
        <v>80</v>
      </c>
      <c r="C961" s="9">
        <v>1</v>
      </c>
      <c r="D961" s="6">
        <v>1.4054813773717499E-4</v>
      </c>
      <c r="E961" s="7">
        <v>1.12438510189739E-2</v>
      </c>
      <c r="AF961" t="str">
        <v>Staff: Masashi Andou (Animation Director)</v>
      </c>
    </row>
    <row r="962" spans="1:32" x14ac:dyDescent="0.3">
      <c r="A962" t="str">
        <f>HYPERLINK("https://anilist.co/staff/124396","Staff: Mitsutoshi Satou (Episode Director (ep 8))")</f>
        <v>Staff: Mitsutoshi Satou (Episode Director (ep 8))</v>
      </c>
      <c r="B962" s="5">
        <v>80</v>
      </c>
      <c r="C962" s="9">
        <v>1</v>
      </c>
      <c r="D962" s="6">
        <v>1.4054813773717499E-4</v>
      </c>
      <c r="E962" s="7">
        <v>1.12438510189739E-2</v>
      </c>
      <c r="AF962" t="str">
        <v>Staff: Osamu Masuyama (Background Art)</v>
      </c>
    </row>
    <row r="963" spans="1:32" x14ac:dyDescent="0.3">
      <c r="A963" t="str">
        <f>HYPERLINK("https://anilist.co/staff/137119","Staff: Shinichi Kurita (Character Design)")</f>
        <v>Staff: Shinichi Kurita (Character Design)</v>
      </c>
      <c r="B963" s="5">
        <v>80</v>
      </c>
      <c r="C963" s="9">
        <v>1</v>
      </c>
      <c r="D963" s="6">
        <v>1.4054813773717499E-4</v>
      </c>
      <c r="E963" s="7">
        <v>1.12438510189739E-2</v>
      </c>
      <c r="AF963" t="str">
        <v>Staff: Naoki Kobayashi (Key Animation)</v>
      </c>
    </row>
    <row r="964" spans="1:32" x14ac:dyDescent="0.3">
      <c r="A964" t="str">
        <f>HYPERLINK("https://anilist.co/staff/103555","Staff: Hisako Kanemoto (Theme Song Performance (ED))")</f>
        <v>Staff: Hisako Kanemoto (Theme Song Performance (ED))</v>
      </c>
      <c r="B964" s="5">
        <v>80</v>
      </c>
      <c r="C964" s="9">
        <v>1</v>
      </c>
      <c r="D964" s="6">
        <v>1.4054813773717499E-4</v>
      </c>
      <c r="E964" s="7">
        <v>1.12438510189739E-2</v>
      </c>
      <c r="AF964" t="str">
        <v>Staff: Haruka Hachinohe (In-Between Animation)</v>
      </c>
    </row>
    <row r="965" spans="1:32" x14ac:dyDescent="0.3">
      <c r="A965" t="str">
        <f>HYPERLINK("https://anilist.co/staff/95241","Staff: Rina Satou (Theme Song Performance (ED))")</f>
        <v>Staff: Rina Satou (Theme Song Performance (ED))</v>
      </c>
      <c r="B965" s="5">
        <v>80</v>
      </c>
      <c r="C965" s="9">
        <v>1</v>
      </c>
      <c r="D965" s="6">
        <v>1.4054813773717499E-4</v>
      </c>
      <c r="E965" s="7">
        <v>1.12438510189739E-2</v>
      </c>
      <c r="AF965" t="str">
        <v>Staff: Mateusz Urbanowicz (Background Art)</v>
      </c>
    </row>
    <row r="966" spans="1:32" x14ac:dyDescent="0.3">
      <c r="A966" t="str">
        <f>HYPERLINK("https://anilist.co/staff/95185","Staff: Kana Hanazawa (Theme Song Performance (ED))")</f>
        <v>Staff: Kana Hanazawa (Theme Song Performance (ED))</v>
      </c>
      <c r="B966" s="5">
        <v>80</v>
      </c>
      <c r="C966" s="9">
        <v>1</v>
      </c>
      <c r="D966" s="6">
        <v>1.4054813773717499E-4</v>
      </c>
      <c r="E966" s="7">
        <v>1.12438510189739E-2</v>
      </c>
      <c r="AF966" t="str">
        <v>Staff: Hideki Hamasu (Key Animation)</v>
      </c>
    </row>
    <row r="967" spans="1:32" x14ac:dyDescent="0.3">
      <c r="A967" t="str">
        <f>HYPERLINK("https://anilist.co/staff/97347","Staff: Jun Maeda (Original Story)")</f>
        <v>Staff: Jun Maeda (Original Story)</v>
      </c>
      <c r="B967" s="5">
        <v>80</v>
      </c>
      <c r="C967" s="9">
        <v>1</v>
      </c>
      <c r="D967" s="6">
        <v>1.4054813773717499E-4</v>
      </c>
      <c r="E967" s="7">
        <v>1.12438510189739E-2</v>
      </c>
      <c r="AF967" t="str">
        <v>Staff: Takeshi Inamura (Key Animation)</v>
      </c>
    </row>
    <row r="968" spans="1:32" x14ac:dyDescent="0.3">
      <c r="A968" t="str">
        <f>HYPERLINK("https://anilist.co/staff/126801","Staff: Kai  (Original Story)")</f>
        <v>Staff: Kai  (Original Story)</v>
      </c>
      <c r="B968" s="5">
        <v>80</v>
      </c>
      <c r="C968" s="9">
        <v>1</v>
      </c>
      <c r="D968" s="6">
        <v>1.4054813773717499E-4</v>
      </c>
      <c r="E968" s="7">
        <v>1.12438510189739E-2</v>
      </c>
      <c r="AF968" t="str">
        <v>Staff: Megumi Kagawa (Key Animation)</v>
      </c>
    </row>
    <row r="969" spans="1:32" x14ac:dyDescent="0.3">
      <c r="A969" t="str">
        <f>HYPERLINK("https://anilist.co/staff/100671","Staff: Itaru Hinoue (Original Character Design)")</f>
        <v>Staff: Itaru Hinoue (Original Character Design)</v>
      </c>
      <c r="B969" s="5">
        <v>80</v>
      </c>
      <c r="C969" s="9">
        <v>1</v>
      </c>
      <c r="D969" s="6">
        <v>1.4054813773717499E-4</v>
      </c>
      <c r="E969" s="7">
        <v>1.12438510189739E-2</v>
      </c>
      <c r="AF969" t="str">
        <v>Staff: Taisuke Iwasaki (Prop Design)</v>
      </c>
    </row>
    <row r="970" spans="1:32" x14ac:dyDescent="0.3">
      <c r="A970" t="str">
        <f>HYPERLINK("https://anilist.co/staff/100055","Staff: Tatsuya Ishihara (Director)")</f>
        <v>Staff: Tatsuya Ishihara (Director)</v>
      </c>
      <c r="B970" s="5">
        <v>80</v>
      </c>
      <c r="C970" s="9">
        <v>1</v>
      </c>
      <c r="D970" s="6">
        <v>1.4054813773717499E-4</v>
      </c>
      <c r="E970" s="7">
        <v>1.12438510189739E-2</v>
      </c>
      <c r="AF970" t="str">
        <v>Staff: Makoto Shinkai (Editing)</v>
      </c>
    </row>
    <row r="971" spans="1:32" x14ac:dyDescent="0.3">
      <c r="A971" t="str">
        <f>HYPERLINK("https://anilist.co/staff/103067","Staff: Fumihiko Shimo (Script)")</f>
        <v>Staff: Fumihiko Shimo (Script)</v>
      </c>
      <c r="B971" s="5">
        <v>80</v>
      </c>
      <c r="C971" s="9">
        <v>1</v>
      </c>
      <c r="D971" s="6">
        <v>1.4054813773717499E-4</v>
      </c>
      <c r="E971" s="7">
        <v>1.12438510189739E-2</v>
      </c>
      <c r="AF971" t="str">
        <v>Staff: Masashi Andou (Character Design)</v>
      </c>
    </row>
    <row r="972" spans="1:32" x14ac:dyDescent="0.3">
      <c r="A972" t="str">
        <f>HYPERLINK("https://anilist.co/staff/100924","Staff: Magome Togoshi (Music)")</f>
        <v>Staff: Magome Togoshi (Music)</v>
      </c>
      <c r="B972" s="5">
        <v>80</v>
      </c>
      <c r="C972" s="9">
        <v>1</v>
      </c>
      <c r="D972" s="6">
        <v>1.4054813773717499E-4</v>
      </c>
      <c r="E972" s="7">
        <v>1.12438510189739E-2</v>
      </c>
      <c r="AF972" t="str">
        <v>Staff: Eiko Morikawa (Sound Effects)</v>
      </c>
    </row>
    <row r="973" spans="1:32" x14ac:dyDescent="0.3">
      <c r="A973" t="str">
        <f>HYPERLINK("https://anilist.co/staff/100347","Staff: Shinji Orito (Music)")</f>
        <v>Staff: Shinji Orito (Music)</v>
      </c>
      <c r="B973" s="5">
        <v>80</v>
      </c>
      <c r="C973" s="9">
        <v>1</v>
      </c>
      <c r="D973" s="6">
        <v>1.4054813773717499E-4</v>
      </c>
      <c r="E973" s="7">
        <v>1.12438510189739E-2</v>
      </c>
      <c r="AF973" t="str">
        <v>Staff: Takumi Tanji (Art Director)</v>
      </c>
    </row>
    <row r="974" spans="1:32" x14ac:dyDescent="0.3">
      <c r="A974" t="str">
        <f>HYPERLINK("https://anilist.co/staff/107674","Staff: ANANT-GARDE EYES  (Theme Song Arrangement (OP))")</f>
        <v>Staff: ANANT-GARDE EYES  (Theme Song Arrangement (OP))</v>
      </c>
      <c r="B974" s="5">
        <v>80</v>
      </c>
      <c r="C974" s="9">
        <v>1</v>
      </c>
      <c r="D974" s="6">
        <v>1.4054813773717499E-4</v>
      </c>
      <c r="E974" s="7">
        <v>1.12438510189739E-2</v>
      </c>
      <c r="AF974" t="str">
        <v>Staff: Tasuku Watanabe (Art Director)</v>
      </c>
    </row>
    <row r="975" spans="1:32" x14ac:dyDescent="0.3">
      <c r="A975" t="str">
        <f>HYPERLINK("https://anilist.co/staff/102724","Staff: Kazumi Ikeda (Character Design)")</f>
        <v>Staff: Kazumi Ikeda (Character Design)</v>
      </c>
      <c r="B975" s="5">
        <v>80</v>
      </c>
      <c r="C975" s="9">
        <v>1</v>
      </c>
      <c r="D975" s="6">
        <v>1.4054813773717499E-4</v>
      </c>
      <c r="E975" s="7">
        <v>1.12438510189739E-2</v>
      </c>
      <c r="AF975" t="str">
        <v>Staff: Akiko Majima (Art Director)</v>
      </c>
    </row>
    <row r="976" spans="1:32" x14ac:dyDescent="0.3">
      <c r="A976" t="str">
        <f>HYPERLINK("https://anilist.co/staff/101513","Staff: Lia  (Theme Song Performance (OP, ED))")</f>
        <v>Staff: Lia  (Theme Song Performance (OP, ED))</v>
      </c>
      <c r="B976" s="5">
        <v>80</v>
      </c>
      <c r="C976" s="9">
        <v>1</v>
      </c>
      <c r="D976" s="6">
        <v>1.4054813773717499E-4</v>
      </c>
      <c r="E976" s="7">
        <v>1.12438510189739E-2</v>
      </c>
      <c r="AF976" t="str">
        <v>Staff: Youko Miki (Color Design)</v>
      </c>
    </row>
    <row r="977" spans="1:32" x14ac:dyDescent="0.3">
      <c r="A977" t="str">
        <f>HYPERLINK("https://anilist.co/staff/149062","Staff: Kengo Shigemura (Editing)")</f>
        <v>Staff: Kengo Shigemura (Editing)</v>
      </c>
      <c r="B977" s="5">
        <v>80</v>
      </c>
      <c r="C977" s="9">
        <v>1</v>
      </c>
      <c r="D977" s="6">
        <v>1.4054813773717499E-4</v>
      </c>
      <c r="E977" s="7">
        <v>1.12438510189739E-2</v>
      </c>
      <c r="AF977" t="str">
        <v>Staff: Katsuhiro Takei (Producer)</v>
      </c>
    </row>
    <row r="978" spans="1:32" x14ac:dyDescent="0.3">
      <c r="A978" t="str">
        <f>HYPERLINK("https://anilist.co/staff/100203","Staff:  Chata (Insert Song Performance (ep 20))")</f>
        <v>Staff:  Chata (Insert Song Performance (ep 20))</v>
      </c>
      <c r="B978" s="5">
        <v>80</v>
      </c>
      <c r="C978" s="9">
        <v>1</v>
      </c>
      <c r="D978" s="6">
        <v>1.4054813773717499E-4</v>
      </c>
      <c r="E978" s="7">
        <v>1.12438510189739E-2</v>
      </c>
      <c r="AF978" t="str">
        <v>Staff: Fear, and Loathing in Las Vegas  (Theme Song Performance (OP))</v>
      </c>
    </row>
    <row r="979" spans="1:32" x14ac:dyDescent="0.3">
      <c r="A979" t="str">
        <f>HYPERLINK("https://anilist.co/staff/103091","Staff: Mutsuo Shinohara (Art Director)")</f>
        <v>Staff: Mutsuo Shinohara (Art Director)</v>
      </c>
      <c r="B979" s="5">
        <v>80</v>
      </c>
      <c r="C979" s="9">
        <v>1</v>
      </c>
      <c r="D979" s="6">
        <v>1.4054813773717499E-4</v>
      </c>
      <c r="E979" s="7">
        <v>1.12438510189739E-2</v>
      </c>
      <c r="AF979" t="str">
        <v>Staff: Daichi Miura (Theme Song Performance (ED))</v>
      </c>
    </row>
    <row r="980" spans="1:32" x14ac:dyDescent="0.3">
      <c r="A980" t="str">
        <f>HYPERLINK("https://anilist.co/staff/101071","Staff:  eufonius (Insert Song Performance (ep 20))")</f>
        <v>Staff:  eufonius (Insert Song Performance (ep 20))</v>
      </c>
      <c r="B980" s="5">
        <v>80</v>
      </c>
      <c r="C980" s="9">
        <v>1</v>
      </c>
      <c r="D980" s="6">
        <v>1.4054813773717499E-4</v>
      </c>
      <c r="E980" s="7">
        <v>1.12438510189739E-2</v>
      </c>
      <c r="AF980" t="str">
        <v>Staff: Frédéric Chopin (Insert Song Composition (eps 15, 23))</v>
      </c>
    </row>
    <row r="981" spans="1:32" x14ac:dyDescent="0.3">
      <c r="A981" t="str">
        <f>HYPERLINK("https://anilist.co/staff/100152","Staff: Shinji Takamatsu (Script)")</f>
        <v>Staff: Shinji Takamatsu (Script)</v>
      </c>
      <c r="B981" s="5">
        <v>80</v>
      </c>
      <c r="C981" s="9">
        <v>1</v>
      </c>
      <c r="D981" s="6">
        <v>1.4054813773717499E-4</v>
      </c>
      <c r="E981" s="7">
        <v>1.12438510189739E-2</v>
      </c>
      <c r="AF981" t="str">
        <v>Staff: Manabu Tamura (Planning)</v>
      </c>
    </row>
    <row r="982" spans="1:32" x14ac:dyDescent="0.3">
      <c r="A982" t="str">
        <f>HYPERLINK("https://anilist.co/staff/100152","Staff: Shinji Takamatsu (Storyboard  (OP))")</f>
        <v>Staff: Shinji Takamatsu (Storyboard  (OP))</v>
      </c>
      <c r="B982" s="5">
        <v>80</v>
      </c>
      <c r="C982" s="9">
        <v>1</v>
      </c>
      <c r="D982" s="6">
        <v>1.4054813773717499E-4</v>
      </c>
      <c r="E982" s="7">
        <v>1.12438510189739E-2</v>
      </c>
      <c r="AF982" t="str">
        <v>Staff: Shouji Yonemura (Series Composition)</v>
      </c>
    </row>
    <row r="983" spans="1:32" x14ac:dyDescent="0.3">
      <c r="A983" t="str">
        <f>HYPERLINK("https://anilist.co/staff/110579","Staff: Yasunobu Yamauchi (Original Creator)")</f>
        <v>Staff: Yasunobu Yamauchi (Original Creator)</v>
      </c>
      <c r="B983" s="5">
        <v>80</v>
      </c>
      <c r="C983" s="9">
        <v>1</v>
      </c>
      <c r="D983" s="6">
        <v>1.4054813773717499E-4</v>
      </c>
      <c r="E983" s="7">
        <v>1.12438510189739E-2</v>
      </c>
      <c r="AF983" t="str">
        <v>Staff: Tadashi Hiramatsu (Character Design)</v>
      </c>
    </row>
    <row r="984" spans="1:32" x14ac:dyDescent="0.3">
      <c r="A984" t="str">
        <f>HYPERLINK("https://anilist.co/staff/110937","Staff: Toshiaki Iino (Key Animation  (ep 5))")</f>
        <v>Staff: Toshiaki Iino (Key Animation  (ep 5))</v>
      </c>
      <c r="B984" s="5">
        <v>80</v>
      </c>
      <c r="C984" s="9">
        <v>1</v>
      </c>
      <c r="D984" s="6">
        <v>1.4054813773717499E-4</v>
      </c>
      <c r="E984" s="7">
        <v>1.12438510189739E-2</v>
      </c>
      <c r="AF984" t="str">
        <v>Staff: Toshiyuki Komaru (Sub Character Design)</v>
      </c>
    </row>
    <row r="985" spans="1:32" x14ac:dyDescent="0.3">
      <c r="A985" t="str">
        <f>HYPERLINK("https://anilist.co/staff/111061","Staff: Yoshinori Yumoto (2nd Key Animation  (ep 2))")</f>
        <v>Staff: Yoshinori Yumoto (2nd Key Animation  (ep 2))</v>
      </c>
      <c r="B985" s="5">
        <v>80</v>
      </c>
      <c r="C985" s="9">
        <v>1</v>
      </c>
      <c r="D985" s="6">
        <v>1.4054813773717499E-4</v>
      </c>
      <c r="E985" s="7">
        <v>1.12438510189739E-2</v>
      </c>
      <c r="AF985" t="str">
        <v>Staff: Kenichi Shima (Sub Character Design (eps 14, 20))</v>
      </c>
    </row>
    <row r="986" spans="1:32" x14ac:dyDescent="0.3">
      <c r="A986" t="str">
        <f>HYPERLINK("https://anilist.co/staff/111061","Staff: Yoshinori Yumoto (Character Design)")</f>
        <v>Staff: Yoshinori Yumoto (Character Design)</v>
      </c>
      <c r="B986" s="5">
        <v>80</v>
      </c>
      <c r="C986" s="9">
        <v>1</v>
      </c>
      <c r="D986" s="6">
        <v>1.4054813773717499E-4</v>
      </c>
      <c r="E986" s="7">
        <v>1.12438510189739E-2</v>
      </c>
      <c r="AF986" t="str">
        <v>Staff: Daisuke Fukada (Producer)</v>
      </c>
    </row>
    <row r="987" spans="1:32" x14ac:dyDescent="0.3">
      <c r="A987" t="str">
        <f>HYPERLINK("https://anilist.co/staff/111061","Staff: Yoshinori Yumoto (Key Animation  (ep 6))")</f>
        <v>Staff: Yoshinori Yumoto (Key Animation  (ep 6))</v>
      </c>
      <c r="B987" s="5">
        <v>80</v>
      </c>
      <c r="C987" s="9">
        <v>1</v>
      </c>
      <c r="D987" s="6">
        <v>1.4054813773717499E-4</v>
      </c>
      <c r="E987" s="7">
        <v>1.12438510189739E-2</v>
      </c>
      <c r="AF987" t="str">
        <v>Staff: Hiroyuki Inage (Producer)</v>
      </c>
    </row>
    <row r="988" spans="1:32" x14ac:dyDescent="0.3">
      <c r="A988" t="str">
        <f>HYPERLINK("https://anilist.co/staff/111061","Staff: Yoshinori Yumoto (Animation Director  (OP, ep 1))")</f>
        <v>Staff: Yoshinori Yumoto (Animation Director  (OP, ep 1))</v>
      </c>
      <c r="B988" s="5">
        <v>80</v>
      </c>
      <c r="C988" s="9">
        <v>1</v>
      </c>
      <c r="D988" s="6">
        <v>1.4054813773717499E-4</v>
      </c>
      <c r="E988" s="7">
        <v>1.12438510189739E-2</v>
      </c>
      <c r="AF988" t="str">
        <v>Staff: You Yoshinari (Key Animation (ep 1))</v>
      </c>
    </row>
    <row r="989" spans="1:32" x14ac:dyDescent="0.3">
      <c r="A989" t="str">
        <f>HYPERLINK("https://anilist.co/staff/111061","Staff: Yoshinori Yumoto (Chief Animation Director)")</f>
        <v>Staff: Yoshinori Yumoto (Chief Animation Director)</v>
      </c>
      <c r="B989" s="5">
        <v>80</v>
      </c>
      <c r="C989" s="9">
        <v>1</v>
      </c>
      <c r="D989" s="6">
        <v>1.4054813773717499E-4</v>
      </c>
      <c r="E989" s="7">
        <v>1.12438510189739E-2</v>
      </c>
      <c r="AF989" t="str">
        <v>Staff: Souta Shioiri (Producer)</v>
      </c>
    </row>
    <row r="990" spans="1:32" x14ac:dyDescent="0.3">
      <c r="A990" t="str">
        <f>HYPERLINK("https://anilist.co/staff/111063","Staff: Kenichi Tajiri (Background Art)")</f>
        <v>Staff: Kenichi Tajiri (Background Art)</v>
      </c>
      <c r="B990" s="5">
        <v>80</v>
      </c>
      <c r="C990" s="9">
        <v>1</v>
      </c>
      <c r="D990" s="6">
        <v>1.4054813773717499E-4</v>
      </c>
      <c r="E990" s="7">
        <v>1.12438510189739E-2</v>
      </c>
      <c r="AF990" t="str">
        <v>Staff: Atsushi Kirimoto (Producer)</v>
      </c>
    </row>
    <row r="991" spans="1:32" x14ac:dyDescent="0.3">
      <c r="A991" t="str">
        <f>HYPERLINK("https://anilist.co/staff/111063","Staff: Kenichi Tajiri (Art Director)")</f>
        <v>Staff: Kenichi Tajiri (Art Director)</v>
      </c>
      <c r="B991" s="5">
        <v>80</v>
      </c>
      <c r="C991" s="9">
        <v>1</v>
      </c>
      <c r="D991" s="6">
        <v>1.4054813773717499E-4</v>
      </c>
      <c r="E991" s="7">
        <v>1.12438510189739E-2</v>
      </c>
      <c r="AF991" t="str">
        <v>Staff: Masanori Hayashi  (Animation Producer)</v>
      </c>
    </row>
    <row r="992" spans="1:32" x14ac:dyDescent="0.3">
      <c r="A992" t="str">
        <f>HYPERLINK("https://anilist.co/staff/111065","Staff: Ayako Kurata (Animation Director  (ED))")</f>
        <v>Staff: Ayako Kurata (Animation Director  (ED))</v>
      </c>
      <c r="B992" s="5">
        <v>80</v>
      </c>
      <c r="C992" s="9">
        <v>1</v>
      </c>
      <c r="D992" s="6">
        <v>1.4054813773717499E-4</v>
      </c>
      <c r="E992" s="7">
        <v>1.12438510189739E-2</v>
      </c>
      <c r="AF992" t="str">
        <v>Staff: Kunihiko Sakurai (Sub Character Design (ep 17))</v>
      </c>
    </row>
    <row r="993" spans="1:32" x14ac:dyDescent="0.3">
      <c r="A993" t="str">
        <f>HYPERLINK("https://anilist.co/staff/111065","Staff: Ayako Kurata (Key Animation  (ED))")</f>
        <v>Staff: Ayako Kurata (Key Animation  (ED))</v>
      </c>
      <c r="B993" s="5">
        <v>80</v>
      </c>
      <c r="C993" s="9">
        <v>1</v>
      </c>
      <c r="D993" s="6">
        <v>1.4054813773717499E-4</v>
      </c>
      <c r="E993" s="7">
        <v>1.12438510189739E-2</v>
      </c>
      <c r="AF993" t="str">
        <v>Staff: Chie Yamashiro (Assistant Director)</v>
      </c>
    </row>
    <row r="994" spans="1:32" x14ac:dyDescent="0.3">
      <c r="A994" t="str">
        <f>HYPERLINK("https://anilist.co/staff/111067","Staff: Ai Yoshimura (Storyboard (1, 2, 5))")</f>
        <v>Staff: Ai Yoshimura (Storyboard (1, 2, 5))</v>
      </c>
      <c r="B994" s="5">
        <v>80</v>
      </c>
      <c r="C994" s="9">
        <v>1</v>
      </c>
      <c r="D994" s="6">
        <v>1.4054813773717499E-4</v>
      </c>
      <c r="E994" s="7">
        <v>1.12438510189739E-2</v>
      </c>
      <c r="AF994" t="str">
        <v>Staff: Hitoshi Iwaaki (Original Creator)</v>
      </c>
    </row>
    <row r="995" spans="1:32" x14ac:dyDescent="0.3">
      <c r="A995" t="str">
        <f>HYPERLINK("https://anilist.co/staff/111067","Staff: Ai Yoshimura (Assistant Director)")</f>
        <v>Staff: Ai Yoshimura (Assistant Director)</v>
      </c>
      <c r="B995" s="5">
        <v>80</v>
      </c>
      <c r="C995" s="9">
        <v>1</v>
      </c>
      <c r="D995" s="6">
        <v>1.4054813773717499E-4</v>
      </c>
      <c r="E995" s="7">
        <v>1.12438510189739E-2</v>
      </c>
      <c r="AF995" t="str">
        <v>Staff: Kenichi Kawamura (Assistant Director (eps 10, 13, 16, 22))</v>
      </c>
    </row>
    <row r="996" spans="1:32" x14ac:dyDescent="0.3">
      <c r="A996" t="str">
        <f>HYPERLINK("https://anilist.co/staff/111067","Staff: Ai Yoshimura (Episode Director  (1, 2, 5, OP))")</f>
        <v>Staff: Ai Yoshimura (Episode Director  (1, 2, 5, OP))</v>
      </c>
      <c r="B996" s="5">
        <v>80</v>
      </c>
      <c r="C996" s="9">
        <v>1</v>
      </c>
      <c r="D996" s="6">
        <v>1.4054813773717499E-4</v>
      </c>
      <c r="E996" s="7">
        <v>1.12438510189739E-2</v>
      </c>
      <c r="AF996" t="str">
        <v>Staff: Toshiyuki Komaru (Chief Animation Director (eps 1-24))</v>
      </c>
    </row>
    <row r="997" spans="1:32" x14ac:dyDescent="0.3">
      <c r="A997" t="str">
        <f>HYPERLINK("https://anilist.co/staff/111315","Staff: YUKI  (Theme Song Lyrics (OP))")</f>
        <v>Staff: YUKI  (Theme Song Lyrics (OP))</v>
      </c>
      <c r="B997" s="5">
        <v>80</v>
      </c>
      <c r="C997" s="9">
        <v>1</v>
      </c>
      <c r="D997" s="6">
        <v>1.4054813773717499E-4</v>
      </c>
      <c r="E997" s="7">
        <v>1.12438510189739E-2</v>
      </c>
      <c r="AF997" t="str">
        <v>Staff: Kenichi Shimizu (Director)</v>
      </c>
    </row>
    <row r="998" spans="1:32" x14ac:dyDescent="0.3">
      <c r="A998" t="str">
        <f>HYPERLINK("https://anilist.co/staff/111689","Staff: Michiyo Miki (Background Art)")</f>
        <v>Staff: Michiyo Miki (Background Art)</v>
      </c>
      <c r="B998" s="5">
        <v>80</v>
      </c>
      <c r="C998" s="9">
        <v>1</v>
      </c>
      <c r="D998" s="6">
        <v>1.4054813773717499E-4</v>
      </c>
      <c r="E998" s="7">
        <v>1.12438510189739E-2</v>
      </c>
      <c r="AF998" t="str">
        <v>Staff: Hitoshi Haga (Chief Animation Director (eps 1-24))</v>
      </c>
    </row>
    <row r="999" spans="1:32" x14ac:dyDescent="0.3">
      <c r="A999" t="str">
        <f>HYPERLINK("https://anilist.co/staff/116883","Staff:  Mix Speaker's,Inc. (Theme Song Performance (ep. 1-11))")</f>
        <v>Staff:  Mix Speaker's,Inc. (Theme Song Performance (ep. 1-11))</v>
      </c>
      <c r="B999" s="5">
        <v>80</v>
      </c>
      <c r="C999" s="9">
        <v>1</v>
      </c>
      <c r="D999" s="6">
        <v>1.4054813773717499E-4</v>
      </c>
      <c r="E999" s="7">
        <v>1.12438510189739E-2</v>
      </c>
      <c r="AF999" t="str">
        <v>Staff: Hitoshi Haga (Sub Character Design (eps 11, 15, 18, 22))</v>
      </c>
    </row>
    <row r="1000" spans="1:32" x14ac:dyDescent="0.3">
      <c r="A1000" t="str">
        <f>HYPERLINK("https://anilist.co/staff/122343","Staff: Tetsuya Wakano (Key Animation (ep 5))")</f>
        <v>Staff: Tetsuya Wakano (Key Animation (ep 5))</v>
      </c>
      <c r="B1000" s="5">
        <v>80</v>
      </c>
      <c r="C1000" s="9">
        <v>1</v>
      </c>
      <c r="D1000" s="6">
        <v>1.4054813773717499E-4</v>
      </c>
      <c r="E1000" s="7">
        <v>1.12438510189739E-2</v>
      </c>
      <c r="AF1000" t="str">
        <v>Staff: Kazunari Sengoku (Music Producer)</v>
      </c>
    </row>
    <row r="1001" spans="1:32" x14ac:dyDescent="0.3">
      <c r="A1001" t="str">
        <f>HYPERLINK("https://anilist.co/staff/123224","Staff: Shintarou Inoue (Background Art)")</f>
        <v>Staff: Shintarou Inoue (Background Art)</v>
      </c>
      <c r="B1001" s="5">
        <v>80</v>
      </c>
      <c r="C1001" s="9">
        <v>1</v>
      </c>
      <c r="D1001" s="6">
        <v>1.4054813773717499E-4</v>
      </c>
      <c r="E1001" s="7">
        <v>1.12438510189739E-2</v>
      </c>
      <c r="AF1001" t="str">
        <v>Staff: Byeong-Gil Yang (Chief Animation Director (eps 1-24))</v>
      </c>
    </row>
    <row r="1002" spans="1:32" x14ac:dyDescent="0.3">
      <c r="A1002" t="str">
        <f>HYPERLINK("https://anilist.co/staff/124291","Staff: Naoko Kuwabara (Key Animation (eps 3, 8))")</f>
        <v>Staff: Naoko Kuwabara (Key Animation (eps 3, 8))</v>
      </c>
      <c r="B1002" s="5">
        <v>80</v>
      </c>
      <c r="C1002" s="9">
        <v>1</v>
      </c>
      <c r="D1002" s="6">
        <v>1.4054813773717499E-4</v>
      </c>
      <c r="E1002" s="7">
        <v>1.12438510189739E-2</v>
      </c>
      <c r="AF1002" t="str">
        <v>Staff: Seita Horio (Original Creator)</v>
      </c>
    </row>
    <row r="1003" spans="1:32" x14ac:dyDescent="0.3">
      <c r="A1003" t="str">
        <f>HYPERLINK("https://anilist.co/staff/98624","Staff: Izumi Tsubaki (Original Creator)")</f>
        <v>Staff: Izumi Tsubaki (Original Creator)</v>
      </c>
      <c r="B1003" s="5">
        <v>80</v>
      </c>
      <c r="C1003" s="9">
        <v>1</v>
      </c>
      <c r="D1003" s="6">
        <v>1.4054813773717499E-4</v>
      </c>
      <c r="E1003" s="7">
        <v>1.12438510189739E-2</v>
      </c>
      <c r="AF1003" t="str">
        <v>Staff: Yoshimitsu Oohashi (Director)</v>
      </c>
    </row>
    <row r="1004" spans="1:32" x14ac:dyDescent="0.3">
      <c r="A1004" t="str">
        <f>HYPERLINK("https://anilist.co/staff/123728","Staff: Masayoshi Ooishi (Theme Song Performance (OP))")</f>
        <v>Staff: Masayoshi Ooishi (Theme Song Performance (OP))</v>
      </c>
      <c r="B1004" s="5">
        <v>80</v>
      </c>
      <c r="C1004" s="9">
        <v>1</v>
      </c>
      <c r="D1004" s="6">
        <v>1.4054813773717499E-4</v>
      </c>
      <c r="E1004" s="7">
        <v>1.12438510189739E-2</v>
      </c>
      <c r="AF1004" t="str">
        <v>Staff: Noboru Kimura (Series Composition)</v>
      </c>
    </row>
    <row r="1005" spans="1:32" x14ac:dyDescent="0.3">
      <c r="A1005" t="str">
        <f>HYPERLINK("https://anilist.co/staff/114605","Staff: Hiroshi Matsumoto (Planning)")</f>
        <v>Staff: Hiroshi Matsumoto (Planning)</v>
      </c>
      <c r="B1005" s="5">
        <v>80</v>
      </c>
      <c r="C1005" s="9">
        <v>1</v>
      </c>
      <c r="D1005" s="6">
        <v>1.4054813773717499E-4</v>
      </c>
      <c r="E1005" s="7">
        <v>1.12438510189739E-2</v>
      </c>
      <c r="AF1005" t="str">
        <v>Staff: Yasuomi Umetsu (Original Character Design)</v>
      </c>
    </row>
    <row r="1006" spans="1:32" x14ac:dyDescent="0.3">
      <c r="A1006" t="str">
        <f>HYPERLINK("https://anilist.co/staff/105043","Staff: Manamu Amasaki (Prop Design)")</f>
        <v>Staff: Manamu Amasaki (Prop Design)</v>
      </c>
      <c r="B1006" s="5">
        <v>80</v>
      </c>
      <c r="C1006" s="9">
        <v>1</v>
      </c>
      <c r="D1006" s="6">
        <v>1.4054813773717499E-4</v>
      </c>
      <c r="E1006" s="7">
        <v>1.12438510189739E-2</v>
      </c>
      <c r="AF1006" t="str">
        <v>Staff: Masaki Hinata (Character Design)</v>
      </c>
    </row>
    <row r="1007" spans="1:32" x14ac:dyDescent="0.3">
      <c r="A1007" t="str">
        <f>HYPERLINK("https://anilist.co/staff/185364","Staff: Tsutomu Kashimura (Planning)")</f>
        <v>Staff: Tsutomu Kashimura (Planning)</v>
      </c>
      <c r="B1007" s="5">
        <v>80</v>
      </c>
      <c r="C1007" s="9">
        <v>1</v>
      </c>
      <c r="D1007" s="6">
        <v>1.4054813773717499E-4</v>
      </c>
      <c r="E1007" s="7">
        <v>1.12438510189739E-2</v>
      </c>
      <c r="AF1007" t="str">
        <v>Staff: Masaki Hinata (Chief Animation Director (ep 5))</v>
      </c>
    </row>
    <row r="1008" spans="1:32" x14ac:dyDescent="0.3">
      <c r="A1008" t="str">
        <f>HYPERLINK("https://anilist.co/staff/153772","Staff: Kouji Taguchi (Planning)")</f>
        <v>Staff: Kouji Taguchi (Planning)</v>
      </c>
      <c r="B1008" s="5">
        <v>80</v>
      </c>
      <c r="C1008" s="9">
        <v>1</v>
      </c>
      <c r="D1008" s="6">
        <v>1.4054813773717499E-4</v>
      </c>
      <c r="E1008" s="7">
        <v>1.12438510189739E-2</v>
      </c>
      <c r="AF1008" t="str">
        <v>Staff: MIYAVI  (Theme Song Performance (OP))</v>
      </c>
    </row>
    <row r="1009" spans="1:32" x14ac:dyDescent="0.3">
      <c r="A1009" t="str">
        <f>HYPERLINK("https://anilist.co/staff/156411","Staff: Risuke Hiraoka (Planning)")</f>
        <v>Staff: Risuke Hiraoka (Planning)</v>
      </c>
      <c r="B1009" s="5">
        <v>80</v>
      </c>
      <c r="C1009" s="9">
        <v>1</v>
      </c>
      <c r="D1009" s="6">
        <v>1.4054813773717499E-4</v>
      </c>
      <c r="E1009" s="7">
        <v>1.12438510189739E-2</v>
      </c>
      <c r="AF1009" t="str">
        <v>Staff: Frank Schröder (ADR Director (German))</v>
      </c>
    </row>
    <row r="1010" spans="1:32" x14ac:dyDescent="0.3">
      <c r="A1010" t="str">
        <f>HYPERLINK("https://anilist.co/staff/146749","Staff: Ryuu Ishiguro (Planning)")</f>
        <v>Staff: Ryuu Ishiguro (Planning)</v>
      </c>
      <c r="B1010" s="5">
        <v>80</v>
      </c>
      <c r="C1010" s="9">
        <v>1</v>
      </c>
      <c r="D1010" s="6">
        <v>1.4054813773717499E-4</v>
      </c>
      <c r="E1010" s="7">
        <v>1.12438510189739E-2</v>
      </c>
      <c r="AF1010" t="str">
        <v>Staff: Frank Schröder (Script (German))</v>
      </c>
    </row>
    <row r="1011" spans="1:32" x14ac:dyDescent="0.3">
      <c r="A1011" t="str">
        <f>HYPERLINK("https://anilist.co/staff/120893","Staff: Ryouhei Takeshita (Chief Episode Director)")</f>
        <v>Staff: Ryouhei Takeshita (Chief Episode Director)</v>
      </c>
      <c r="B1011" s="5">
        <v>80</v>
      </c>
      <c r="C1011" s="9">
        <v>1</v>
      </c>
      <c r="D1011" s="6">
        <v>1.4054813773717499E-4</v>
      </c>
      <c r="E1011" s="7">
        <v>1.12438510189739E-2</v>
      </c>
      <c r="AF1011" t="str">
        <v>Staff: Shinichi Inozume (Script (eps 4, 7, 9, 11))</v>
      </c>
    </row>
    <row r="1012" spans="1:32" x14ac:dyDescent="0.3">
      <c r="A1012" t="str">
        <f>HYPERLINK("https://anilist.co/staff/111501","Staff: Junichirou Taniguchi (Chief Animation Director (eps 1-12))")</f>
        <v>Staff: Junichirou Taniguchi (Chief Animation Director (eps 1-12))</v>
      </c>
      <c r="B1012" s="5">
        <v>80</v>
      </c>
      <c r="C1012" s="9">
        <v>1</v>
      </c>
      <c r="D1012" s="6">
        <v>1.4054813773717499E-4</v>
      </c>
      <c r="E1012" s="7">
        <v>1.12438510189739E-2</v>
      </c>
      <c r="AF1012" t="str">
        <v>Staff: MIYAVI  (Theme Song Arrangement (OP))</v>
      </c>
    </row>
    <row r="1013" spans="1:32" x14ac:dyDescent="0.3">
      <c r="A1013" t="str">
        <f>HYPERLINK("https://anilist.co/staff/124965","Staff: Nana Kikuchi (Insert Manga Production)")</f>
        <v>Staff: Nana Kikuchi (Insert Manga Production)</v>
      </c>
      <c r="B1013" s="5">
        <v>80</v>
      </c>
      <c r="C1013" s="9">
        <v>1</v>
      </c>
      <c r="D1013" s="6">
        <v>1.4054813773717499E-4</v>
      </c>
      <c r="E1013" s="7">
        <v>1.12438510189739E-2</v>
      </c>
      <c r="AF1013" t="str">
        <v>Staff: Noboru Kimura (Script (eps 1-3, 8, 10, 12))</v>
      </c>
    </row>
    <row r="1014" spans="1:32" x14ac:dyDescent="0.3">
      <c r="A1014" t="str">
        <f>HYPERLINK("https://anilist.co/staff/148491","Staff: Masatoshi Ishizuka (Producer)")</f>
        <v>Staff: Masatoshi Ishizuka (Producer)</v>
      </c>
      <c r="B1014" s="5">
        <v>80</v>
      </c>
      <c r="C1014" s="9">
        <v>1</v>
      </c>
      <c r="D1014" s="6">
        <v>1.4054813773717499E-4</v>
      </c>
      <c r="E1014" s="7">
        <v>1.12438510189739E-2</v>
      </c>
      <c r="AF1014" t="str">
        <v>Staff: MIYAVI  (Theme Song Lyrics (OP))</v>
      </c>
    </row>
    <row r="1015" spans="1:32" x14ac:dyDescent="0.3">
      <c r="A1015" t="str">
        <f>HYPERLINK("https://anilist.co/staff/210387","Staff: Yoshikazu Beniya (Producer)")</f>
        <v>Staff: Yoshikazu Beniya (Producer)</v>
      </c>
      <c r="B1015" s="5">
        <v>80</v>
      </c>
      <c r="C1015" s="9">
        <v>1</v>
      </c>
      <c r="D1015" s="6">
        <v>1.4054813773717499E-4</v>
      </c>
      <c r="E1015" s="7">
        <v>1.12438510189739E-2</v>
      </c>
      <c r="AF1015" t="str">
        <v>Staff: MIYAVI  (Theme Song Composition (OP))</v>
      </c>
    </row>
    <row r="1016" spans="1:32" x14ac:dyDescent="0.3">
      <c r="A1016" t="str">
        <f>HYPERLINK("https://anilist.co/staff/146766","Staff: Gou Wakabayashi (Music Producer)")</f>
        <v>Staff: Gou Wakabayashi (Music Producer)</v>
      </c>
      <c r="B1016" s="5">
        <v>80</v>
      </c>
      <c r="C1016" s="9">
        <v>1</v>
      </c>
      <c r="D1016" s="6">
        <v>1.4054813773717499E-4</v>
      </c>
      <c r="E1016" s="7">
        <v>1.12438510189739E-2</v>
      </c>
      <c r="AF1016" t="str">
        <v>Staff: Seiko Takagi (Script (eps 5-6))</v>
      </c>
    </row>
    <row r="1017" spans="1:32" x14ac:dyDescent="0.3">
      <c r="A1017" t="str">
        <f>HYPERLINK("https://anilist.co/staff/142292","Staff: Shou Tanaka (Producer)")</f>
        <v>Staff: Shou Tanaka (Producer)</v>
      </c>
      <c r="B1017" s="5">
        <v>80</v>
      </c>
      <c r="C1017" s="9">
        <v>1</v>
      </c>
      <c r="D1017" s="6">
        <v>1.4054813773717499E-4</v>
      </c>
      <c r="E1017" s="7">
        <v>1.12438510189739E-2</v>
      </c>
      <c r="AF1017" t="str">
        <v>Staff: David Wald (ADR Director (English))</v>
      </c>
    </row>
    <row r="1018" spans="1:32" x14ac:dyDescent="0.3">
      <c r="A1018" t="str">
        <f>HYPERLINK("https://anilist.co/staff/100326","Staff: Kou Matsuo (Sound Director)")</f>
        <v>Staff: Kou Matsuo (Sound Director)</v>
      </c>
      <c r="B1018" s="5">
        <v>80</v>
      </c>
      <c r="C1018" s="9">
        <v>1</v>
      </c>
      <c r="D1018" s="6">
        <v>1.4054813773717499E-4</v>
      </c>
      <c r="E1018" s="7">
        <v>1.12438510189739E-2</v>
      </c>
      <c r="AF1018" t="str">
        <v>Staff: Yasuomi Umetsu (Key Animation (ED))</v>
      </c>
    </row>
    <row r="1019" spans="1:32" x14ac:dyDescent="0.3">
      <c r="A1019" t="str">
        <f>HYPERLINK("https://anilist.co/staff/146764","Staff: Hajime Kamata (Producer)")</f>
        <v>Staff: Hajime Kamata (Producer)</v>
      </c>
      <c r="B1019" s="5">
        <v>80</v>
      </c>
      <c r="C1019" s="9">
        <v>1</v>
      </c>
      <c r="D1019" s="6">
        <v>1.4054813773717499E-4</v>
      </c>
      <c r="E1019" s="7">
        <v>1.12438510189739E-2</v>
      </c>
      <c r="AF1019" t="str">
        <v>Staff: Yasuomi Umetsu (Episode Director (ED))</v>
      </c>
    </row>
    <row r="1020" spans="1:32" x14ac:dyDescent="0.3">
      <c r="A1020" t="str">
        <f>HYPERLINK("https://anilist.co/staff/111501","Staff: Junichirou Taniguchi (Character Design)")</f>
        <v>Staff: Junichirou Taniguchi (Character Design)</v>
      </c>
      <c r="B1020" s="5">
        <v>80</v>
      </c>
      <c r="C1020" s="9">
        <v>1</v>
      </c>
      <c r="D1020" s="6">
        <v>1.4054813773717499E-4</v>
      </c>
      <c r="E1020" s="7">
        <v>1.12438510189739E-2</v>
      </c>
      <c r="AF1020" t="str">
        <v>Staff: Yasuomi Umetsu (Storyboard (ED))</v>
      </c>
    </row>
    <row r="1021" spans="1:32" x14ac:dyDescent="0.3">
      <c r="A1021" t="str">
        <f>HYPERLINK("https://anilist.co/staff/118797","Staff: Satoru Noda (Original Creator)")</f>
        <v>Staff: Satoru Noda (Original Creator)</v>
      </c>
      <c r="B1021" s="5">
        <v>80</v>
      </c>
      <c r="C1021" s="9">
        <v>1</v>
      </c>
      <c r="D1021" s="6">
        <v>1.4054813773717499E-4</v>
      </c>
      <c r="E1021" s="7">
        <v>1.12438510189739E-2</v>
      </c>
      <c r="AF1021" t="str">
        <v>Staff: Cool-kyou Shinja  (Original Creator)</v>
      </c>
    </row>
    <row r="1022" spans="1:32" x14ac:dyDescent="0.3">
      <c r="A1022" t="str">
        <f>HYPERLINK("https://anilist.co/staff/120009","Staff: Kouji Watanabe (Prop Design)")</f>
        <v>Staff: Kouji Watanabe (Prop Design)</v>
      </c>
      <c r="B1022" s="5">
        <v>80</v>
      </c>
      <c r="C1022" s="9">
        <v>1</v>
      </c>
      <c r="D1022" s="6">
        <v>1.4054813773717499E-4</v>
      </c>
      <c r="E1022" s="7">
        <v>1.12438510189739E-2</v>
      </c>
      <c r="AF1022" t="str">
        <v>Staff: Kenichi Imaizumi (Director)</v>
      </c>
    </row>
    <row r="1023" spans="1:32" x14ac:dyDescent="0.3">
      <c r="A1023" t="str">
        <f>HYPERLINK("https://anilist.co/staff/106268","Staff: Hitoshi Nanba (Director)")</f>
        <v>Staff: Hitoshi Nanba (Director)</v>
      </c>
      <c r="B1023" s="5">
        <v>80</v>
      </c>
      <c r="C1023" s="9">
        <v>1</v>
      </c>
      <c r="D1023" s="6">
        <v>1.4054813773717499E-4</v>
      </c>
      <c r="E1023" s="7">
        <v>1.12438510189739E-2</v>
      </c>
      <c r="AF1023" t="str">
        <v>Staff: Yurie Kuniyuki (Character Design)</v>
      </c>
    </row>
    <row r="1024" spans="1:32" x14ac:dyDescent="0.3">
      <c r="A1024" t="str">
        <f>HYPERLINK("https://anilist.co/staff/128968","Staff: Takahiro Mogi (Color Design)")</f>
        <v>Staff: Takahiro Mogi (Color Design)</v>
      </c>
      <c r="B1024" s="5">
        <v>80</v>
      </c>
      <c r="C1024" s="9">
        <v>1</v>
      </c>
      <c r="D1024" s="6">
        <v>1.4054813773717499E-4</v>
      </c>
      <c r="E1024" s="7">
        <v>1.12438510189739E-2</v>
      </c>
      <c r="AF1024" t="str">
        <v>Staff: Yurie Kuniyuki (Chief Animation Director)</v>
      </c>
    </row>
    <row r="1025" spans="1:32" x14ac:dyDescent="0.3">
      <c r="A1025" t="str">
        <f>HYPERLINK("https://anilist.co/staff/101736","Staff: Noboru Takagi (Series Composition)")</f>
        <v>Staff: Noboru Takagi (Series Composition)</v>
      </c>
      <c r="B1025" s="5">
        <v>80</v>
      </c>
      <c r="C1025" s="9">
        <v>1</v>
      </c>
      <c r="D1025" s="6">
        <v>1.4054813773717499E-4</v>
      </c>
      <c r="E1025" s="7">
        <v>1.12438510189739E-2</v>
      </c>
      <c r="AF1025" t="str">
        <v>Staff: Yukari Yasuda (Art Director)</v>
      </c>
    </row>
    <row r="1026" spans="1:32" x14ac:dyDescent="0.3">
      <c r="A1026" t="str">
        <f>HYPERLINK("https://anilist.co/staff/146857","Staff: Yuuichirou Osada (Director of Photography)")</f>
        <v>Staff: Yuuichirou Osada (Director of Photography)</v>
      </c>
      <c r="B1026" s="5">
        <v>80</v>
      </c>
      <c r="C1026" s="9">
        <v>1</v>
      </c>
      <c r="D1026" s="6">
        <v>1.4054813773717499E-4</v>
      </c>
      <c r="E1026" s="7">
        <v>1.12438510189739E-2</v>
      </c>
      <c r="AF1026" t="str">
        <v>Staff: Muru Imigi (Original Creator)</v>
      </c>
    </row>
    <row r="1027" spans="1:32" x14ac:dyDescent="0.3">
      <c r="A1027" t="str">
        <f>HYPERLINK("https://anilist.co/staff/120018","Staff: Atsushi Morikawa (Art Director)")</f>
        <v>Staff: Atsushi Morikawa (Art Director)</v>
      </c>
      <c r="B1027" s="5">
        <v>80</v>
      </c>
      <c r="C1027" s="9">
        <v>1</v>
      </c>
      <c r="D1027" s="6">
        <v>1.4054813773717499E-4</v>
      </c>
      <c r="E1027" s="7">
        <v>1.12438510189739E-2</v>
      </c>
      <c r="AF1027" t="str">
        <v>Staff: Mai Ootsuka (Character Design)</v>
      </c>
    </row>
    <row r="1028" spans="1:32" x14ac:dyDescent="0.3">
      <c r="A1028" t="str">
        <f>HYPERLINK("https://anilist.co/staff/131201","Staff: Keisuke Hiroe (Creature Design)")</f>
        <v>Staff: Keisuke Hiroe (Creature Design)</v>
      </c>
      <c r="B1028" s="5">
        <v>80</v>
      </c>
      <c r="C1028" s="9">
        <v>1</v>
      </c>
      <c r="D1028" s="6">
        <v>1.4054813773717499E-4</v>
      </c>
      <c r="E1028" s="7">
        <v>1.12438510189739E-2</v>
      </c>
      <c r="AF1028" t="str">
        <v>Staff: Nana Mizuki (Theme Song Performance (OP, ED: ep 12))</v>
      </c>
    </row>
    <row r="1029" spans="1:32" x14ac:dyDescent="0.3">
      <c r="A1029" t="str">
        <f>HYPERLINK("https://anilist.co/staff/123020","Staff: Kenichi Oonuki (Character Design)")</f>
        <v>Staff: Kenichi Oonuki (Character Design)</v>
      </c>
      <c r="B1029" s="5">
        <v>80</v>
      </c>
      <c r="C1029" s="9">
        <v>1</v>
      </c>
      <c r="D1029" s="6">
        <v>1.4054813773717499E-4</v>
      </c>
      <c r="E1029" s="7">
        <v>1.12438510189739E-2</v>
      </c>
      <c r="AF1029" t="str">
        <v>Staff: Naruhisa Arakawa (Series Composition)</v>
      </c>
    </row>
    <row r="1030" spans="1:32" x14ac:dyDescent="0.3">
      <c r="A1030" t="str">
        <f>HYPERLINK("https://anilist.co/staff/146245","Staff: Koutarou Shishido (CG Director)")</f>
        <v>Staff: Koutarou Shishido (CG Director)</v>
      </c>
      <c r="B1030" s="5">
        <v>80</v>
      </c>
      <c r="C1030" s="9">
        <v>1</v>
      </c>
      <c r="D1030" s="6">
        <v>1.4054813773717499E-4</v>
      </c>
      <c r="E1030" s="7">
        <v>1.12438510189739E-2</v>
      </c>
      <c r="AF1030" t="str">
        <v>Staff: Sumire Uesaka (Theme Song Performance (ED1, ED: ep 12))</v>
      </c>
    </row>
    <row r="1031" spans="1:32" x14ac:dyDescent="0.3">
      <c r="A1031" t="str">
        <f>HYPERLINK("https://anilist.co/staff/128970","Staff: Gou Sadamatsu (Editing)")</f>
        <v>Staff: Gou Sadamatsu (Editing)</v>
      </c>
      <c r="B1031" s="5">
        <v>80</v>
      </c>
      <c r="C1031" s="9">
        <v>1</v>
      </c>
      <c r="D1031" s="6">
        <v>1.4054813773717499E-4</v>
      </c>
      <c r="E1031" s="7">
        <v>1.12438510189739E-2</v>
      </c>
      <c r="AF1031" t="str">
        <v>Staff: Takayuki Noguchi (Key Animation (eps 5, 9, 11))</v>
      </c>
    </row>
    <row r="1032" spans="1:32" x14ac:dyDescent="0.3">
      <c r="A1032" t="str">
        <f>HYPERLINK("https://anilist.co/staff/163092","Staff: Tomoe Ookubo (Art Design)")</f>
        <v>Staff: Tomoe Ookubo (Art Design)</v>
      </c>
      <c r="B1032" s="5">
        <v>80</v>
      </c>
      <c r="C1032" s="9">
        <v>1</v>
      </c>
      <c r="D1032" s="6">
        <v>1.4054813773717499E-4</v>
      </c>
      <c r="E1032" s="7">
        <v>1.12438510189739E-2</v>
      </c>
      <c r="AF1032" t="str">
        <v>Staff: Yuka Kazama (Sound Effects)</v>
      </c>
    </row>
    <row r="1033" spans="1:32" x14ac:dyDescent="0.3">
      <c r="A1033" t="str">
        <f>HYPERLINK("https://anilist.co/staff/125172","Staff:  THE SIXTH LIE (Theme Song Performance (ED))")</f>
        <v>Staff:  THE SIXTH LIE (Theme Song Performance (ED))</v>
      </c>
      <c r="B1033" s="5">
        <v>80</v>
      </c>
      <c r="C1033" s="9">
        <v>1</v>
      </c>
      <c r="D1033" s="6">
        <v>1.4054813773717499E-4</v>
      </c>
      <c r="E1033" s="7">
        <v>1.12438510189739E-2</v>
      </c>
      <c r="AF1033" t="str">
        <v>Staff:  TECHNOBOYS PULCRAFT GREEN-FUND (Theme Song Lyrics (ED1))</v>
      </c>
    </row>
    <row r="1034" spans="1:32" x14ac:dyDescent="0.3">
      <c r="A1034" t="str">
        <f>HYPERLINK("https://anilist.co/staff/188185","Staff: FOMARE (Theme Song Performance (OP))")</f>
        <v>Staff: FOMARE (Theme Song Performance (OP))</v>
      </c>
      <c r="B1034" s="5">
        <v>80</v>
      </c>
      <c r="C1034" s="9">
        <v>1</v>
      </c>
      <c r="D1034" s="6">
        <v>1.4054813773717499E-4</v>
      </c>
      <c r="E1034" s="7">
        <v>1.12438510189739E-2</v>
      </c>
      <c r="AF1034" t="str">
        <v>Staff:  TECHNOBOYS PULCRAFT GREEN-FUND (Theme Song Arrangement (ED1))</v>
      </c>
    </row>
    <row r="1035" spans="1:32" x14ac:dyDescent="0.3">
      <c r="A1035" t="str">
        <f>HYPERLINK("https://anilist.co/staff/148450","Staff: Yutaka Hirata (Episode Director (ep 1))")</f>
        <v>Staff: Yutaka Hirata (Episode Director (ep 1))</v>
      </c>
      <c r="B1035" s="5">
        <v>80</v>
      </c>
      <c r="C1035" s="9">
        <v>1</v>
      </c>
      <c r="D1035" s="6">
        <v>1.4054813773717499E-4</v>
      </c>
      <c r="E1035" s="7">
        <v>1.12438510189739E-2</v>
      </c>
      <c r="AF1035" t="str">
        <v>Staff:  TECHNOBOYS PULCRAFT GREEN-FUND (Theme Song Composition (ED1))</v>
      </c>
    </row>
    <row r="1036" spans="1:32" x14ac:dyDescent="0.3">
      <c r="A1036" t="str">
        <f>HYPERLINK("https://anilist.co/staff/101518","Staff: Masahiro Andou (Storyboard (ep 2))")</f>
        <v>Staff: Masahiro Andou (Storyboard (ep 2))</v>
      </c>
      <c r="B1036" s="5">
        <v>80</v>
      </c>
      <c r="C1036" s="9">
        <v>1</v>
      </c>
      <c r="D1036" s="6">
        <v>1.4054813773717499E-4</v>
      </c>
      <c r="E1036" s="7">
        <v>1.12438510189739E-2</v>
      </c>
      <c r="AF1036" t="str">
        <v>Staff: Nana Mizuki (Theme Song Lyrics (OP))</v>
      </c>
    </row>
    <row r="1037" spans="1:32" x14ac:dyDescent="0.3">
      <c r="A1037" t="str">
        <f>HYPERLINK("https://anilist.co/staff/146861","Staff: Shige Fukase (Episode Director (ep 2))")</f>
        <v>Staff: Shige Fukase (Episode Director (ep 2))</v>
      </c>
      <c r="B1037" s="5">
        <v>80</v>
      </c>
      <c r="C1037" s="9">
        <v>1</v>
      </c>
      <c r="D1037" s="6">
        <v>1.4054813773717499E-4</v>
      </c>
      <c r="E1037" s="7">
        <v>1.12438510189739E-2</v>
      </c>
      <c r="AF1037" t="str">
        <v>Staff: Junpei Fujita (Theme Song Arrangement (OP))</v>
      </c>
    </row>
    <row r="1038" spans="1:32" x14ac:dyDescent="0.3">
      <c r="A1038" t="str">
        <f>HYPERLINK("https://anilist.co/staff/106268","Staff: Hitoshi Nanba (Storyboard (ep 1))")</f>
        <v>Staff: Hitoshi Nanba (Storyboard (ep 1))</v>
      </c>
      <c r="B1038" s="5">
        <v>80</v>
      </c>
      <c r="C1038" s="9">
        <v>1</v>
      </c>
      <c r="D1038" s="6">
        <v>1.4054813773717499E-4</v>
      </c>
      <c r="E1038" s="7">
        <v>1.12438510189739E-2</v>
      </c>
      <c r="AF1038" t="str">
        <v>Staff: Takuya Fujita (Theme Song Composition (OP))</v>
      </c>
    </row>
    <row r="1039" spans="1:32" x14ac:dyDescent="0.3">
      <c r="A1039" t="str">
        <f>HYPERLINK("https://anilist.co/staff/135521","Staff: Naho Kozono (Sub Character Design)")</f>
        <v>Staff: Naho Kozono (Sub Character Design)</v>
      </c>
      <c r="B1039" s="5">
        <v>80</v>
      </c>
      <c r="C1039" s="9">
        <v>1</v>
      </c>
      <c r="D1039" s="6">
        <v>1.4054813773717499E-4</v>
      </c>
      <c r="E1039" s="7">
        <v>1.12438510189739E-2</v>
      </c>
      <c r="AF1039" t="str">
        <v>Staff: Ari Ozawa (Theme Song Performance (ED: ep 12))</v>
      </c>
    </row>
    <row r="1040" spans="1:32" x14ac:dyDescent="0.3">
      <c r="A1040" t="str">
        <f>HYPERLINK("https://anilist.co/staff/151524","Staff: Mayumi Fukushi (Sub Character Design)")</f>
        <v>Staff: Mayumi Fukushi (Sub Character Design)</v>
      </c>
      <c r="B1040" s="5">
        <v>80</v>
      </c>
      <c r="C1040" s="9">
        <v>1</v>
      </c>
      <c r="D1040" s="6">
        <v>1.4054813773717499E-4</v>
      </c>
      <c r="E1040" s="7">
        <v>1.12438510189739E-2</v>
      </c>
      <c r="AF1040" t="str">
        <v>Staff: Nao Touyama (Theme Song Performance (ED: ep 12))</v>
      </c>
    </row>
    <row r="1041" spans="1:32" x14ac:dyDescent="0.3">
      <c r="A1041" t="str">
        <f>HYPERLINK("https://anilist.co/staff/135525","Staff: Tamako Miyanishi (Animation Director (ep 2))")</f>
        <v>Staff: Tamako Miyanishi (Animation Director (ep 2))</v>
      </c>
      <c r="B1041" s="5">
        <v>80</v>
      </c>
      <c r="C1041" s="9">
        <v>1</v>
      </c>
      <c r="D1041" s="6">
        <v>1.4054813773717499E-4</v>
      </c>
      <c r="E1041" s="7">
        <v>1.12438510189739E-2</v>
      </c>
      <c r="AF1041" t="str">
        <v>Staff: 40mP  (Theme Song Lyrics (ED: ep 12))</v>
      </c>
    </row>
    <row r="1042" spans="1:32" x14ac:dyDescent="0.3">
      <c r="A1042" t="str">
        <f>HYPERLINK("https://anilist.co/staff/120009","Staff: Kouji Watanabe (Animal Animation Director (ep 1, 2))")</f>
        <v>Staff: Kouji Watanabe (Animal Animation Director (ep 1, 2))</v>
      </c>
      <c r="B1042" s="5">
        <v>80</v>
      </c>
      <c r="C1042" s="9">
        <v>1</v>
      </c>
      <c r="D1042" s="6">
        <v>1.4054813773717499E-4</v>
      </c>
      <c r="E1042" s="7">
        <v>1.12438510189739E-2</v>
      </c>
      <c r="AF1042" t="str">
        <v>Staff: 40mP  (Theme Song Composition (ED: ep 12))</v>
      </c>
    </row>
    <row r="1043" spans="1:32" x14ac:dyDescent="0.3">
      <c r="A1043" t="str">
        <f>HYPERLINK("https://anilist.co/staff/144430","Staff: Akira Takeuchi (Animation Director (ep 1))")</f>
        <v>Staff: Akira Takeuchi (Animation Director (ep 1))</v>
      </c>
      <c r="B1043" s="5">
        <v>80</v>
      </c>
      <c r="C1043" s="9">
        <v>1</v>
      </c>
      <c r="D1043" s="6">
        <v>1.4054813773717499E-4</v>
      </c>
      <c r="E1043" s="7">
        <v>1.12438510189739E-2</v>
      </c>
      <c r="AF1043" t="str">
        <v>Staff: 40mP  (Theme Song Arrangement (ED: ep 12))</v>
      </c>
    </row>
    <row r="1044" spans="1:32" x14ac:dyDescent="0.3">
      <c r="A1044" t="str">
        <f>HYPERLINK("https://anilist.co/staff/119530","Staff: Akane Shimizu (Original Creator)")</f>
        <v>Staff: Akane Shimizu (Original Creator)</v>
      </c>
      <c r="B1044" s="5">
        <v>80</v>
      </c>
      <c r="C1044" s="9">
        <v>1</v>
      </c>
      <c r="D1044" s="6">
        <v>1.4054813773717499E-4</v>
      </c>
      <c r="E1044" s="7">
        <v>1.12438510189739E-2</v>
      </c>
      <c r="AF1044" t="str">
        <v>Staff: Sumire Uesaka (Insert Song Performance (ep 5))</v>
      </c>
    </row>
    <row r="1045" spans="1:32" x14ac:dyDescent="0.3">
      <c r="A1045" t="str">
        <f>HYPERLINK("https://anilist.co/staff/119341","Staff: Kenichi Suzuki (Script (eps 7, 13))")</f>
        <v>Staff: Kenichi Suzuki (Script (eps 7, 13))</v>
      </c>
      <c r="B1045" s="5">
        <v>80</v>
      </c>
      <c r="C1045" s="9">
        <v>1</v>
      </c>
      <c r="D1045" s="6">
        <v>1.4054813773717499E-4</v>
      </c>
      <c r="E1045" s="7">
        <v>1.12438510189739E-2</v>
      </c>
      <c r="AF1045" t="str">
        <v>Staff: 40mP  (Insert Song Lyrics (eps 5, 11))</v>
      </c>
    </row>
    <row r="1046" spans="1:32" x14ac:dyDescent="0.3">
      <c r="A1046" t="str">
        <f>HYPERLINK("https://anilist.co/staff/110655","Staff: Yuuko Kakihara (Script (eps 1-6, 8-12))")</f>
        <v>Staff: Yuuko Kakihara (Script (eps 1-6, 8-12))</v>
      </c>
      <c r="B1046" s="5">
        <v>80</v>
      </c>
      <c r="C1046" s="9">
        <v>1</v>
      </c>
      <c r="D1046" s="6">
        <v>1.4054813773717499E-4</v>
      </c>
      <c r="E1046" s="7">
        <v>1.12438510189739E-2</v>
      </c>
      <c r="AF1046" t="str">
        <v>Staff: Nana Mizuki (Insert Song Performance (ep 5))</v>
      </c>
    </row>
    <row r="1047" spans="1:32" x14ac:dyDescent="0.3">
      <c r="A1047" t="str">
        <f>HYPERLINK("https://anilist.co/staff/101886","Staff: Takahiko Yoshida (Character Design)")</f>
        <v>Staff: Takahiko Yoshida (Character Design)</v>
      </c>
      <c r="B1047" s="5">
        <v>80</v>
      </c>
      <c r="C1047" s="9">
        <v>1</v>
      </c>
      <c r="D1047" s="6">
        <v>1.4054813773717499E-4</v>
      </c>
      <c r="E1047" s="7">
        <v>1.12438510189739E-2</v>
      </c>
      <c r="AF1047" t="str">
        <v>Staff: 40mP  (Insert Song Arrangement (eps 5, 11))</v>
      </c>
    </row>
    <row r="1048" spans="1:32" x14ac:dyDescent="0.3">
      <c r="A1048" t="str">
        <f>HYPERLINK("https://anilist.co/staff/101886","Staff: Takahiko Yoshida (Chief Animation Director (eps 1-8, 10-13))")</f>
        <v>Staff: Takahiko Yoshida (Chief Animation Director (eps 1-8, 10-13))</v>
      </c>
      <c r="B1048" s="5">
        <v>80</v>
      </c>
      <c r="C1048" s="9">
        <v>1</v>
      </c>
      <c r="D1048" s="6">
        <v>1.4054813773717499E-4</v>
      </c>
      <c r="E1048" s="7">
        <v>1.12438510189739E-2</v>
      </c>
      <c r="AF1048" t="str">
        <v>Staff: Akihito Tsukushi (Original Creator)</v>
      </c>
    </row>
    <row r="1049" spans="1:32" x14ac:dyDescent="0.3">
      <c r="A1049" t="str">
        <f>HYPERLINK("https://anilist.co/staff/106746","Staff: ClariS  (Theme Song Performance (ED))")</f>
        <v>Staff: ClariS  (Theme Song Performance (ED))</v>
      </c>
      <c r="B1049" s="5">
        <v>80</v>
      </c>
      <c r="C1049" s="9">
        <v>1</v>
      </c>
      <c r="D1049" s="6">
        <v>1.4054813773717499E-4</v>
      </c>
      <c r="E1049" s="7">
        <v>1.12438510189739E-2</v>
      </c>
      <c r="AF1049" t="str">
        <v>Staff: Masayuki Kojima (Director)</v>
      </c>
    </row>
    <row r="1050" spans="1:32" x14ac:dyDescent="0.3">
      <c r="A1050" t="str">
        <f>HYPERLINK("https://anilist.co/staff/137967","Staff: Katharina von Daake (Script (German))")</f>
        <v>Staff: Katharina von Daake (Script (German))</v>
      </c>
      <c r="B1050" s="5">
        <v>80</v>
      </c>
      <c r="C1050" s="9">
        <v>1</v>
      </c>
      <c r="D1050" s="6">
        <v>1.4054813773717499E-4</v>
      </c>
      <c r="E1050" s="7">
        <v>1.12438510189739E-2</v>
      </c>
      <c r="AF1050" t="str">
        <v>Staff: Kazuchika Kise (Character Design)</v>
      </c>
    </row>
    <row r="1051" spans="1:32" x14ac:dyDescent="0.3">
      <c r="A1051" t="str">
        <f>HYPERLINK("https://anilist.co/staff/137967","Staff: Katharina von Daake (ADR Director (German))")</f>
        <v>Staff: Katharina von Daake (ADR Director (German))</v>
      </c>
      <c r="B1051" s="5">
        <v>80</v>
      </c>
      <c r="C1051" s="9">
        <v>1</v>
      </c>
      <c r="D1051" s="6">
        <v>1.4054813773717499E-4</v>
      </c>
      <c r="E1051" s="7">
        <v>1.12438510189739E-2</v>
      </c>
      <c r="AF1051" t="str">
        <v>Staff: Hideyuki Kurata (Script (eps 1-3, 7-9, 13))</v>
      </c>
    </row>
    <row r="1052" spans="1:32" x14ac:dyDescent="0.3">
      <c r="A1052" t="str">
        <f>HYPERLINK("https://anilist.co/staff/95185","Staff: Kana Hanazawa (Theme Song Performance (OP))")</f>
        <v>Staff: Kana Hanazawa (Theme Song Performance (OP))</v>
      </c>
      <c r="B1052" s="5">
        <v>80</v>
      </c>
      <c r="C1052" s="9">
        <v>1</v>
      </c>
      <c r="D1052" s="6">
        <v>1.4054813773717499E-4</v>
      </c>
      <c r="E1052" s="7">
        <v>1.12438510189739E-2</v>
      </c>
      <c r="AF1052" t="str">
        <v>Staff: Kazuchika Kise (Animation Director (ep 1))</v>
      </c>
    </row>
    <row r="1053" spans="1:32" x14ac:dyDescent="0.3">
      <c r="A1053" t="str">
        <f>HYPERLINK("https://anilist.co/staff/96489","Staff: Tomoaki Maeno (Theme Song Performance (OP))")</f>
        <v>Staff: Tomoaki Maeno (Theme Song Performance (OP))</v>
      </c>
      <c r="B1053" s="5">
        <v>80</v>
      </c>
      <c r="C1053" s="9">
        <v>1</v>
      </c>
      <c r="D1053" s="6">
        <v>1.4054813773717499E-4</v>
      </c>
      <c r="E1053" s="7">
        <v>1.12438510189739E-2</v>
      </c>
      <c r="AF1053" t="str">
        <v>Staff: Shinya Iino (Assistant Director)</v>
      </c>
    </row>
    <row r="1054" spans="1:32" x14ac:dyDescent="0.3">
      <c r="A1054" t="str">
        <f>HYPERLINK("https://anilist.co/staff/95195","Staff: Kikuko Inoue (Theme Song Performance (OP))")</f>
        <v>Staff: Kikuko Inoue (Theme Song Performance (OP))</v>
      </c>
      <c r="B1054" s="5">
        <v>80</v>
      </c>
      <c r="C1054" s="9">
        <v>1</v>
      </c>
      <c r="D1054" s="6">
        <v>1.4054813773717499E-4</v>
      </c>
      <c r="E1054" s="7">
        <v>1.12438510189739E-2</v>
      </c>
      <c r="AF1054" t="str">
        <v>Staff: Kevin Penkin (Music)</v>
      </c>
    </row>
    <row r="1055" spans="1:32" x14ac:dyDescent="0.3">
      <c r="A1055" t="str">
        <f>HYPERLINK("https://anilist.co/staff/145603","Staff: Kouji Kajita (Planning)")</f>
        <v>Staff: Kouji Kajita (Planning)</v>
      </c>
      <c r="B1055" s="5">
        <v>80</v>
      </c>
      <c r="C1055" s="9">
        <v>1</v>
      </c>
      <c r="D1055" s="6">
        <v>1.4054813773717499E-4</v>
      </c>
      <c r="E1055" s="7">
        <v>1.12438510189739E-2</v>
      </c>
      <c r="AF1055" t="str">
        <v>Staff: Osamu Masuyama (Art Director)</v>
      </c>
    </row>
    <row r="1056" spans="1:32" x14ac:dyDescent="0.3">
      <c r="A1056" t="str">
        <f>HYPERLINK("https://anilist.co/staff/164059","Staff: Kenta Mimuro (Prop Design)")</f>
        <v>Staff: Kenta Mimuro (Prop Design)</v>
      </c>
      <c r="B1056" s="5">
        <v>80</v>
      </c>
      <c r="C1056" s="9">
        <v>1</v>
      </c>
      <c r="D1056" s="6">
        <v>1.4054813773717499E-4</v>
      </c>
      <c r="E1056" s="7">
        <v>1.12438510189739E-2</v>
      </c>
      <c r="AF1056" t="str">
        <v>Staff: Keigo Koyanagi (Script (eps 4-6, 10-12))</v>
      </c>
    </row>
    <row r="1057" spans="1:32" x14ac:dyDescent="0.3">
      <c r="A1057" t="str">
        <f>HYPERLINK("https://anilist.co/staff/146688","Staff: Masanori Miyake (Production)")</f>
        <v>Staff: Masanori Miyake (Production)</v>
      </c>
      <c r="B1057" s="5">
        <v>80</v>
      </c>
      <c r="C1057" s="9">
        <v>1</v>
      </c>
      <c r="D1057" s="6">
        <v>1.4054813773717499E-4</v>
      </c>
      <c r="E1057" s="7">
        <v>1.12438510189739E-2</v>
      </c>
      <c r="AF1057" t="str">
        <v>Staff: Mariya Ise (Theme Song Performance (OP, ED1-ED3))</v>
      </c>
    </row>
    <row r="1058" spans="1:32" x14ac:dyDescent="0.3">
      <c r="A1058" t="str">
        <f>HYPERLINK("https://anilist.co/staff/164060","Staff: Keiko Tamaki (Sub Character Design)")</f>
        <v>Staff: Keiko Tamaki (Sub Character Design)</v>
      </c>
      <c r="B1058" s="5">
        <v>80</v>
      </c>
      <c r="C1058" s="9">
        <v>1</v>
      </c>
      <c r="D1058" s="6">
        <v>1.4054813773717499E-4</v>
      </c>
      <c r="E1058" s="7">
        <v>1.12438510189739E-2</v>
      </c>
      <c r="AF1058" t="str">
        <v>Staff: Miyu Tomita (Theme Song Performance (OP, ED1-ED3))</v>
      </c>
    </row>
    <row r="1059" spans="1:32" x14ac:dyDescent="0.3">
      <c r="A1059" t="str">
        <f>HYPERLINK("https://anilist.co/staff/142337","Staff: Takuya Matsushita (Production)")</f>
        <v>Staff: Takuya Matsushita (Production)</v>
      </c>
      <c r="B1059" s="5">
        <v>80</v>
      </c>
      <c r="C1059" s="9">
        <v>1</v>
      </c>
      <c r="D1059" s="6">
        <v>1.4054813773717499E-4</v>
      </c>
      <c r="E1059" s="7">
        <v>1.12438510189739E-2</v>
      </c>
      <c r="AF1059" t="str">
        <v>Staff: Shiori Izawa (Theme Song Performance (ED3))</v>
      </c>
    </row>
    <row r="1060" spans="1:32" x14ac:dyDescent="0.3">
      <c r="A1060" t="str">
        <f>HYPERLINK("https://anilist.co/staff/250094","Staff: Kouji Hashiguchi (Art Design)")</f>
        <v>Staff: Kouji Hashiguchi (Art Design)</v>
      </c>
      <c r="B1060" s="5">
        <v>80</v>
      </c>
      <c r="C1060" s="9">
        <v>1</v>
      </c>
      <c r="D1060" s="6">
        <v>1.4054813773717499E-4</v>
      </c>
      <c r="E1060" s="7">
        <v>1.12438510189739E-2</v>
      </c>
      <c r="AF1060" t="str">
        <v>Staff: Kou Yoshinari (Biological Design)</v>
      </c>
    </row>
    <row r="1061" spans="1:32" x14ac:dyDescent="0.3">
      <c r="A1061" t="str">
        <f>HYPERLINK("https://anilist.co/staff/154191","Staff: Aiko Mizuno (Color Design)")</f>
        <v>Staff: Aiko Mizuno (Color Design)</v>
      </c>
      <c r="B1061" s="5">
        <v>80</v>
      </c>
      <c r="C1061" s="9">
        <v>1</v>
      </c>
      <c r="D1061" s="6">
        <v>1.4054813773717499E-4</v>
      </c>
      <c r="E1061" s="7">
        <v>1.12438510189739E-2</v>
      </c>
      <c r="AF1061" t="str">
        <v>Staff: Shouko Yasuda (Animation Director (eps 6, 9))</v>
      </c>
    </row>
    <row r="1062" spans="1:32" x14ac:dyDescent="0.3">
      <c r="A1062" t="str">
        <f>HYPERLINK("https://anilist.co/staff/111607","Staff: Masao Ootake (Original Creator)")</f>
        <v>Staff: Masao Ootake (Original Creator)</v>
      </c>
      <c r="B1062" s="5">
        <v>80</v>
      </c>
      <c r="C1062" s="9">
        <v>1</v>
      </c>
      <c r="D1062" s="6">
        <v>1.4054813773717499E-4</v>
      </c>
      <c r="E1062" s="7">
        <v>1.12438510189739E-2</v>
      </c>
      <c r="AF1062" t="str">
        <v>Staff: Masayuki Kojima (Storyboard (eps 1-3, 5, 8-10, 12, 13))</v>
      </c>
    </row>
    <row r="1063" spans="1:32" x14ac:dyDescent="0.3">
      <c r="A1063" t="str">
        <f>HYPERLINK("https://anilist.co/staff/106021","Staff: Kanetoshi Kamimoto (Character Design)")</f>
        <v>Staff: Kanetoshi Kamimoto (Character Design)</v>
      </c>
      <c r="B1063" s="5">
        <v>80</v>
      </c>
      <c r="C1063" s="9">
        <v>1</v>
      </c>
      <c r="D1063" s="6">
        <v>1.4054813773717499E-4</v>
      </c>
      <c r="E1063" s="7">
        <v>1.12438510189739E-2</v>
      </c>
      <c r="AF1063" t="str">
        <v>Staff: Takao Abo (Storyboard (eps 6, 7, 11))</v>
      </c>
    </row>
    <row r="1064" spans="1:32" x14ac:dyDescent="0.3">
      <c r="A1064" t="str">
        <f>HYPERLINK("https://anilist.co/staff/128110","Staff: Keiichirou Oochi (Series Composition)")</f>
        <v>Staff: Keiichirou Oochi (Series Composition)</v>
      </c>
      <c r="B1064" s="5">
        <v>80</v>
      </c>
      <c r="C1064" s="9">
        <v>1</v>
      </c>
      <c r="D1064" s="6">
        <v>1.4054813773717499E-4</v>
      </c>
      <c r="E1064" s="7">
        <v>1.12438510189739E-2</v>
      </c>
      <c r="AF1064" t="str">
        <v>Staff: Shinya Iino (Storyboard (eps 4, 11))</v>
      </c>
    </row>
    <row r="1065" spans="1:32" x14ac:dyDescent="0.3">
      <c r="A1065" t="str">
        <f>HYPERLINK("https://anilist.co/staff/106021","Staff: Kanetoshi Kamimoto (Chief Animation Director (ep 1-5, 7, 9, 10, 12))")</f>
        <v>Staff: Kanetoshi Kamimoto (Chief Animation Director (ep 1-5, 7, 9, 10, 12))</v>
      </c>
      <c r="B1065" s="5">
        <v>80</v>
      </c>
      <c r="C1065" s="9">
        <v>1</v>
      </c>
      <c r="D1065" s="6">
        <v>1.4054813773717499E-4</v>
      </c>
      <c r="E1065" s="7">
        <v>1.12438510189739E-2</v>
      </c>
      <c r="AF1065" t="str">
        <v>Staff: Satoshi Mori (Episode Director (eps 2, 13))</v>
      </c>
    </row>
    <row r="1066" spans="1:32" x14ac:dyDescent="0.3">
      <c r="A1066" t="str">
        <f>HYPERLINK("https://anilist.co/staff/152743","Staff: Kuniaki Masuda (Chief Animation Director (eps 6, 8, 10, 11))")</f>
        <v>Staff: Kuniaki Masuda (Chief Animation Director (eps 6, 8, 10, 11))</v>
      </c>
      <c r="B1066" s="5">
        <v>80</v>
      </c>
      <c r="C1066" s="9">
        <v>1</v>
      </c>
      <c r="D1066" s="6">
        <v>1.4054813773717499E-4</v>
      </c>
      <c r="E1066" s="7">
        <v>1.12438510189739E-2</v>
      </c>
      <c r="AF1066" t="str">
        <v>Staff: Shinya Iino (Episode Director (eps 4, 7, 8))</v>
      </c>
    </row>
    <row r="1067" spans="1:32" x14ac:dyDescent="0.3">
      <c r="A1067" t="str">
        <f>HYPERLINK("https://anilist.co/staff/101404","Staff: Tetsuya Takeuchi (Main Animator)")</f>
        <v>Staff: Tetsuya Takeuchi (Main Animator)</v>
      </c>
      <c r="B1067" s="5">
        <v>80</v>
      </c>
      <c r="C1067" s="9">
        <v>1</v>
      </c>
      <c r="D1067" s="6">
        <v>1.4054813773717499E-4</v>
      </c>
      <c r="E1067" s="7">
        <v>1.12438510189739E-2</v>
      </c>
      <c r="AF1067" t="str">
        <v>Staff: Masayuki Kojima (Episode Director (ep 12))</v>
      </c>
    </row>
    <row r="1068" spans="1:32" x14ac:dyDescent="0.3">
      <c r="A1068" t="str">
        <f>HYPERLINK("https://anilist.co/staff/118964","Staff: Shunichirou Yoshihara (Art Director)")</f>
        <v>Staff: Shunichirou Yoshihara (Art Director)</v>
      </c>
      <c r="B1068" s="5">
        <v>80</v>
      </c>
      <c r="C1068" s="9">
        <v>1</v>
      </c>
      <c r="D1068" s="6">
        <v>1.4054813773717499E-4</v>
      </c>
      <c r="E1068" s="7">
        <v>1.12438510189739E-2</v>
      </c>
      <c r="AF1068" t="str">
        <v>Staff: Hitoshi Haga (Episode Director (eps 1, 6, 9))</v>
      </c>
    </row>
    <row r="1069" spans="1:32" x14ac:dyDescent="0.3">
      <c r="A1069" t="str">
        <f>HYPERLINK("https://anilist.co/staff/146755","Staff: Toyokazu Nakahigashi (Producer)")</f>
        <v>Staff: Toyokazu Nakahigashi (Producer)</v>
      </c>
      <c r="B1069" s="5">
        <v>80</v>
      </c>
      <c r="C1069" s="9">
        <v>1</v>
      </c>
      <c r="D1069" s="6">
        <v>1.4054813773717499E-4</v>
      </c>
      <c r="E1069" s="7">
        <v>1.12438510189739E-2</v>
      </c>
      <c r="AF1069" t="str">
        <v>Staff: Toshiharu Kudou (Episode Director (eps 5, 11))</v>
      </c>
    </row>
    <row r="1070" spans="1:32" x14ac:dyDescent="0.3">
      <c r="A1070" t="str">
        <f>HYPERLINK("https://anilist.co/staff/146750","Staff: Kazufumi Kikushima (Producer)")</f>
        <v>Staff: Kazufumi Kikushima (Producer)</v>
      </c>
      <c r="B1070" s="5">
        <v>80</v>
      </c>
      <c r="C1070" s="9">
        <v>1</v>
      </c>
      <c r="D1070" s="6">
        <v>1.4054813773717499E-4</v>
      </c>
      <c r="E1070" s="7">
        <v>1.12438510189739E-2</v>
      </c>
      <c r="AF1070" t="str">
        <v>Staff: Miyao Yamashita (Color Design)</v>
      </c>
    </row>
    <row r="1071" spans="1:32" x14ac:dyDescent="0.3">
      <c r="A1071" t="str">
        <f>HYPERLINK("https://anilist.co/staff/151972","Staff: Makoto Houjou (Planning)")</f>
        <v>Staff: Makoto Houjou (Planning)</v>
      </c>
      <c r="B1071" s="5">
        <v>80</v>
      </c>
      <c r="C1071" s="9">
        <v>1</v>
      </c>
      <c r="D1071" s="6">
        <v>1.4054813773717499E-4</v>
      </c>
      <c r="E1071" s="7">
        <v>1.12438510189739E-2</v>
      </c>
      <c r="AF1071" t="str">
        <v>Staff: Ema Tsunetaka (Director of Photography)</v>
      </c>
    </row>
    <row r="1072" spans="1:32" x14ac:dyDescent="0.3">
      <c r="A1072" t="str">
        <f>HYPERLINK("https://anilist.co/staff/115621","Staff: Shunichi Uemura (Music Producer)")</f>
        <v>Staff: Shunichi Uemura (Music Producer)</v>
      </c>
      <c r="B1072" s="5">
        <v>80</v>
      </c>
      <c r="C1072" s="9">
        <v>1</v>
      </c>
      <c r="D1072" s="6">
        <v>1.4054813773717499E-4</v>
      </c>
      <c r="E1072" s="7">
        <v>1.12438510189739E-2</v>
      </c>
      <c r="AF1072" t="str">
        <v>Staff: Kagiji Kumanomata (Original Creator)</v>
      </c>
    </row>
    <row r="1073" spans="1:32" x14ac:dyDescent="0.3">
      <c r="A1073" t="str">
        <f>HYPERLINK("https://anilist.co/staff/142246","Staff: Noritomo Isogai (Producer)")</f>
        <v>Staff: Noritomo Isogai (Producer)</v>
      </c>
      <c r="B1073" s="5">
        <v>80</v>
      </c>
      <c r="C1073" s="9">
        <v>1</v>
      </c>
      <c r="D1073" s="6">
        <v>1.4054813773717499E-4</v>
      </c>
      <c r="E1073" s="7">
        <v>1.12438510189739E-2</v>
      </c>
      <c r="AF1073" t="str">
        <v>Staff: Mitsue Yamazaki (Director)</v>
      </c>
    </row>
    <row r="1074" spans="1:32" x14ac:dyDescent="0.3">
      <c r="A1074" t="str">
        <f>HYPERLINK("https://anilist.co/staff/151976","Staff: Hiroyasu Taniguchi (Producer)")</f>
        <v>Staff: Hiroyasu Taniguchi (Producer)</v>
      </c>
      <c r="B1074" s="5">
        <v>80</v>
      </c>
      <c r="C1074" s="9">
        <v>1</v>
      </c>
      <c r="D1074" s="6">
        <v>1.4054813773717499E-4</v>
      </c>
      <c r="E1074" s="7">
        <v>1.12438510189739E-2</v>
      </c>
      <c r="AF1074" t="str">
        <v>Staff: Ai Kikuchi (Character Design)</v>
      </c>
    </row>
    <row r="1075" spans="1:32" x14ac:dyDescent="0.3">
      <c r="A1075" t="str">
        <f>HYPERLINK("https://anilist.co/staff/142296","Staff: Mitsuhiro Ogata (Producer)")</f>
        <v>Staff: Mitsuhiro Ogata (Producer)</v>
      </c>
      <c r="B1075" s="5">
        <v>80</v>
      </c>
      <c r="C1075" s="9">
        <v>1</v>
      </c>
      <c r="D1075" s="6">
        <v>1.4054813773717499E-4</v>
      </c>
      <c r="E1075" s="7">
        <v>1.12438510189739E-2</v>
      </c>
      <c r="AF1075" t="str">
        <v>Staff: Sumie Noro (Assistant Director)</v>
      </c>
    </row>
    <row r="1076" spans="1:32" x14ac:dyDescent="0.3">
      <c r="A1076" t="str">
        <f>HYPERLINK("https://anilist.co/staff/149226","Staff: Shintarou Yoshitake (Producer)")</f>
        <v>Staff: Shintarou Yoshitake (Producer)</v>
      </c>
      <c r="B1076" s="5">
        <v>80</v>
      </c>
      <c r="C1076" s="9">
        <v>1</v>
      </c>
      <c r="D1076" s="6">
        <v>1.4054813773717499E-4</v>
      </c>
      <c r="E1076" s="7">
        <v>1.12438510189739E-2</v>
      </c>
      <c r="AF1076" t="str">
        <v>Staff: Yuika Shiraishi (Sound Effects)</v>
      </c>
    </row>
    <row r="1077" spans="1:32" x14ac:dyDescent="0.3">
      <c r="A1077" t="str">
        <f>HYPERLINK("https://anilist.co/staff/142290","Staff: Fumihiko Shinozaki (Planning)")</f>
        <v>Staff: Fumihiko Shinozaki (Planning)</v>
      </c>
      <c r="B1077" s="5">
        <v>80</v>
      </c>
      <c r="C1077" s="9">
        <v>1</v>
      </c>
      <c r="D1077" s="6">
        <v>1.4054813773717499E-4</v>
      </c>
      <c r="E1077" s="7">
        <v>1.12438510189739E-2</v>
      </c>
      <c r="AF1077" t="str">
        <v>Staff: Megumi Matsumoto (Prop Design)</v>
      </c>
    </row>
    <row r="1078" spans="1:32" x14ac:dyDescent="0.3">
      <c r="A1078" t="str">
        <f>HYPERLINK("https://anilist.co/staff/142293","Staff: Asuka Yamazaki (Planning)")</f>
        <v>Staff: Asuka Yamazaki (Planning)</v>
      </c>
      <c r="B1078" s="5">
        <v>80</v>
      </c>
      <c r="C1078" s="9">
        <v>1</v>
      </c>
      <c r="D1078" s="6">
        <v>1.4054813773717499E-4</v>
      </c>
      <c r="E1078" s="7">
        <v>1.12438510189739E-2</v>
      </c>
      <c r="AF1078" t="str">
        <v>Staff: Chieko Nakamura (Art Design)</v>
      </c>
    </row>
    <row r="1079" spans="1:32" x14ac:dyDescent="0.3">
      <c r="A1079" t="str">
        <f>HYPERLINK("https://anilist.co/staff/152915","Staff: Ryou Araki (Main Animator)")</f>
        <v>Staff: Ryou Araki (Main Animator)</v>
      </c>
      <c r="B1079" s="5">
        <v>80</v>
      </c>
      <c r="C1079" s="9">
        <v>1</v>
      </c>
      <c r="D1079" s="6">
        <v>1.4054813773717499E-4</v>
      </c>
      <c r="E1079" s="7">
        <v>1.12438510189739E-2</v>
      </c>
      <c r="AF1079" t="str">
        <v>Staff: Chiaki Nakajima (Sub Character Design)</v>
      </c>
    </row>
    <row r="1080" spans="1:32" x14ac:dyDescent="0.3">
      <c r="A1080" t="str">
        <f>HYPERLINK("https://anilist.co/staff/152916","Staff: Kei Matsubara (Assistant Director)")</f>
        <v>Staff: Kei Matsubara (Assistant Director)</v>
      </c>
      <c r="B1080" s="5">
        <v>80</v>
      </c>
      <c r="C1080" s="9">
        <v>1</v>
      </c>
      <c r="D1080" s="6">
        <v>1.4054813773717499E-4</v>
      </c>
      <c r="E1080" s="7">
        <v>1.12438510189739E-2</v>
      </c>
      <c r="AF1080" t="str">
        <v>Staff: Chieko Nakamura (Art Director)</v>
      </c>
    </row>
    <row r="1081" spans="1:32" x14ac:dyDescent="0.3">
      <c r="A1081" t="str">
        <f>HYPERLINK("https://anilist.co/staff/126997","Staff: Yuumikan  (Original Creator)")</f>
        <v>Staff: Yuumikan  (Original Creator)</v>
      </c>
      <c r="B1081" s="5">
        <v>80</v>
      </c>
      <c r="C1081" s="9">
        <v>1</v>
      </c>
      <c r="D1081" s="6">
        <v>1.4054813773717499E-4</v>
      </c>
      <c r="E1081" s="7">
        <v>1.12438510189739E-2</v>
      </c>
      <c r="AF1081" t="str">
        <v>Staff: Makoto Tanimura (Casting Management)</v>
      </c>
    </row>
    <row r="1082" spans="1:32" x14ac:dyDescent="0.3">
      <c r="A1082" t="str">
        <f>HYPERLINK("https://anilist.co/staff/101753","Staff: Shin Oonuma (Director)")</f>
        <v>Staff: Shin Oonuma (Director)</v>
      </c>
      <c r="B1082" s="5">
        <v>80</v>
      </c>
      <c r="C1082" s="9">
        <v>1</v>
      </c>
      <c r="D1082" s="6">
        <v>1.4054813773717499E-4</v>
      </c>
      <c r="E1082" s="7">
        <v>1.12438510189739E-2</v>
      </c>
      <c r="AF1082" t="str">
        <v>Staff: Seiichi Sugiura (Visual Effects)</v>
      </c>
    </row>
    <row r="1083" spans="1:32" x14ac:dyDescent="0.3">
      <c r="A1083" t="str">
        <f>HYPERLINK("https://anilist.co/staff/120531","Staff: Mirai Minato (Director)")</f>
        <v>Staff: Mirai Minato (Director)</v>
      </c>
      <c r="B1083" s="5">
        <v>80</v>
      </c>
      <c r="C1083" s="9">
        <v>1</v>
      </c>
      <c r="D1083" s="6">
        <v>1.4054813773717499E-4</v>
      </c>
      <c r="E1083" s="7">
        <v>1.12438510189739E-2</v>
      </c>
      <c r="AF1083" t="str">
        <v>Staff: Takafumi Kuwano (Graphic Design)</v>
      </c>
    </row>
    <row r="1084" spans="1:32" x14ac:dyDescent="0.3">
      <c r="A1084" t="str">
        <f>HYPERLINK("https://anilist.co/staff/125146","Staff: Kazuya Hirata (Character Design)")</f>
        <v>Staff: Kazuya Hirata (Character Design)</v>
      </c>
      <c r="B1084" s="5">
        <v>80</v>
      </c>
      <c r="C1084" s="9">
        <v>1</v>
      </c>
      <c r="D1084" s="6">
        <v>1.4054813773717499E-4</v>
      </c>
      <c r="E1084" s="7">
        <v>1.12438510189739E-2</v>
      </c>
      <c r="AF1084" t="str">
        <v>Staff: ORESAMA (Theme Song Performance (ED))</v>
      </c>
    </row>
    <row r="1085" spans="1:32" x14ac:dyDescent="0.3">
      <c r="A1085" t="str">
        <f>HYPERLINK("https://anilist.co/staff/125146","Staff: Kazuya Hirata (Chief Animation Director)")</f>
        <v>Staff: Kazuya Hirata (Chief Animation Director)</v>
      </c>
      <c r="B1085" s="5">
        <v>80</v>
      </c>
      <c r="C1085" s="9">
        <v>1</v>
      </c>
      <c r="D1085" s="6">
        <v>1.4054813773717499E-4</v>
      </c>
      <c r="E1085" s="7">
        <v>1.12438510189739E-2</v>
      </c>
      <c r="AF1085" t="str">
        <v>Staff: Sumie Noro (Storyboard (ED, ep 2))</v>
      </c>
    </row>
    <row r="1086" spans="1:32" x14ac:dyDescent="0.3">
      <c r="A1086" t="str">
        <f>HYPERLINK("https://anilist.co/staff/148460","Staff: Hiromi Ueno (Art Design)")</f>
        <v>Staff: Hiromi Ueno (Art Design)</v>
      </c>
      <c r="B1086" s="5">
        <v>80</v>
      </c>
      <c r="C1086" s="9">
        <v>1</v>
      </c>
      <c r="D1086" s="6">
        <v>1.4054813773717499E-4</v>
      </c>
      <c r="E1086" s="7">
        <v>1.12438510189739E-2</v>
      </c>
      <c r="AF1086" t="str">
        <v>Staff: Megumi Soeno (Episode Director (OP))</v>
      </c>
    </row>
    <row r="1087" spans="1:32" x14ac:dyDescent="0.3">
      <c r="A1087" t="str">
        <f>HYPERLINK("https://anilist.co/staff/121005","Staff: Yuki Sawairi (Prop Design)")</f>
        <v>Staff: Yuki Sawairi (Prop Design)</v>
      </c>
      <c r="B1087" s="5">
        <v>80</v>
      </c>
      <c r="C1087" s="9">
        <v>1</v>
      </c>
      <c r="D1087" s="6">
        <v>1.4054813773717499E-4</v>
      </c>
      <c r="E1087" s="7">
        <v>1.12438510189739E-2</v>
      </c>
      <c r="AF1087" t="str">
        <v>Staff: Yasuyuki Noda (Animation Director (OP))</v>
      </c>
    </row>
    <row r="1088" spans="1:32" x14ac:dyDescent="0.3">
      <c r="A1088" t="str">
        <f>HYPERLINK("https://anilist.co/staff/123954","Staff: Shinpei Aoki (Weapon Design)")</f>
        <v>Staff: Shinpei Aoki (Weapon Design)</v>
      </c>
      <c r="B1088" s="5">
        <v>80</v>
      </c>
      <c r="C1088" s="9">
        <v>1</v>
      </c>
      <c r="D1088" s="6">
        <v>1.4054813773717499E-4</v>
      </c>
      <c r="E1088" s="7">
        <v>1.12438510189739E-2</v>
      </c>
      <c r="AF1088" t="str">
        <v>Staff: Chiaki Nakajima (Animation Director (OP))</v>
      </c>
    </row>
    <row r="1089" spans="1:32" x14ac:dyDescent="0.3">
      <c r="A1089" t="str">
        <f>HYPERLINK("https://anilist.co/staff/112809","Staff:  Koin (Original Character Design)")</f>
        <v>Staff:  Koin (Original Character Design)</v>
      </c>
      <c r="B1089" s="5">
        <v>80</v>
      </c>
      <c r="C1089" s="9">
        <v>1</v>
      </c>
      <c r="D1089" s="6">
        <v>1.4054813773717499E-4</v>
      </c>
      <c r="E1089" s="7">
        <v>1.12438510189739E-2</v>
      </c>
      <c r="AF1089" t="str">
        <v>Staff: Megumi Soeno (Storyboard (OP))</v>
      </c>
    </row>
    <row r="1090" spans="1:32" x14ac:dyDescent="0.3">
      <c r="A1090" t="str">
        <f>HYPERLINK("https://anilist.co/staff/120643","Staff: Kisuke Koizumi (Sound Director)")</f>
        <v>Staff: Kisuke Koizumi (Sound Director)</v>
      </c>
      <c r="B1090" s="5">
        <v>80</v>
      </c>
      <c r="C1090" s="9">
        <v>1</v>
      </c>
      <c r="D1090" s="6">
        <v>1.4054813773717499E-4</v>
      </c>
      <c r="E1090" s="7">
        <v>1.12438510189739E-2</v>
      </c>
      <c r="AF1090" t="str">
        <v>Staff: Ai Kikuchi (Chief Animation Director (OP, ep 1))</v>
      </c>
    </row>
    <row r="1091" spans="1:32" x14ac:dyDescent="0.3">
      <c r="A1091" t="str">
        <f>HYPERLINK("https://anilist.co/staff/155769","Staff: Yuuki Shinjou (Art Director)")</f>
        <v>Staff: Yuuki Shinjou (Art Director)</v>
      </c>
      <c r="B1091" s="5">
        <v>80</v>
      </c>
      <c r="C1091" s="9">
        <v>1</v>
      </c>
      <c r="D1091" s="6">
        <v>1.4054813773717499E-4</v>
      </c>
      <c r="E1091" s="7">
        <v>1.12438510189739E-2</v>
      </c>
      <c r="AF1091" t="str">
        <v>Staff: Sumie Noro (Episode Director (ED, ep 2))</v>
      </c>
    </row>
    <row r="1092" spans="1:32" x14ac:dyDescent="0.3">
      <c r="A1092" t="str">
        <f>HYPERLINK("https://anilist.co/staff/155768","Staff: Kaori Satou (Prop Design)")</f>
        <v>Staff: Kaori Satou (Prop Design)</v>
      </c>
      <c r="B1092" s="5">
        <v>80</v>
      </c>
      <c r="C1092" s="9">
        <v>1</v>
      </c>
      <c r="D1092" s="6">
        <v>1.4054813773717499E-4</v>
      </c>
      <c r="E1092" s="7">
        <v>1.12438510189739E-2</v>
      </c>
      <c r="AF1092" t="str">
        <v>Staff: Minori Chihara (Theme Song Performance)</v>
      </c>
    </row>
    <row r="1093" spans="1:32" x14ac:dyDescent="0.3">
      <c r="A1093" t="str">
        <f>HYPERLINK("https://anilist.co/staff/155770","Staff: Mako Aboshi (Creature Design)")</f>
        <v>Staff: Mako Aboshi (Creature Design)</v>
      </c>
      <c r="B1093" s="5">
        <v>80</v>
      </c>
      <c r="C1093" s="9">
        <v>1</v>
      </c>
      <c r="D1093" s="6">
        <v>1.4054813773717499E-4</v>
      </c>
      <c r="E1093" s="7">
        <v>1.12438510189739E-2</v>
      </c>
      <c r="AF1093" t="str">
        <v>Staff: Marina Inoue (Theme Song Performance)</v>
      </c>
    </row>
    <row r="1094" spans="1:32" x14ac:dyDescent="0.3">
      <c r="A1094" t="str">
        <f>HYPERLINK("https://anilist.co/staff/155771","Staff: Tarou Masuda (Music)")</f>
        <v>Staff: Tarou Masuda (Music)</v>
      </c>
      <c r="B1094" s="5">
        <v>80</v>
      </c>
      <c r="C1094" s="9">
        <v>1</v>
      </c>
      <c r="D1094" s="6">
        <v>1.4054813773717499E-4</v>
      </c>
      <c r="E1094" s="7">
        <v>1.12438510189739E-2</v>
      </c>
      <c r="AF1094" t="str">
        <v>Staff: Rina Satou (Theme Song Performance)</v>
      </c>
    </row>
    <row r="1095" spans="1:32" x14ac:dyDescent="0.3">
      <c r="A1095" t="str">
        <f>HYPERLINK("https://anilist.co/staff/122233","Staff: Riko Sasaki (Theme Song Performance (ED))")</f>
        <v>Staff: Riko Sasaki (Theme Song Performance (ED))</v>
      </c>
      <c r="B1095" s="5">
        <v>80</v>
      </c>
      <c r="C1095" s="9">
        <v>1</v>
      </c>
      <c r="D1095" s="6">
        <v>1.4054813773717499E-4</v>
      </c>
      <c r="E1095" s="7">
        <v>1.12438510189739E-2</v>
      </c>
      <c r="AF1095" t="str">
        <v>Staff: Tomoki Kikuya (Theme Song Arrangement)</v>
      </c>
    </row>
    <row r="1096" spans="1:32" x14ac:dyDescent="0.3">
      <c r="A1096" t="str">
        <f>HYPERLINK("https://anilist.co/staff/122165","Staff: Junjou no Afilia  (Theme Song Performance (OP, ED: ep 12))")</f>
        <v>Staff: Junjou no Afilia  (Theme Song Performance (OP, ED: ep 12))</v>
      </c>
      <c r="B1096" s="5">
        <v>80</v>
      </c>
      <c r="C1096" s="9">
        <v>1</v>
      </c>
      <c r="D1096" s="6">
        <v>1.4054813773717499E-4</v>
      </c>
      <c r="E1096" s="7">
        <v>1.12438510189739E-2</v>
      </c>
      <c r="AF1096" t="str">
        <v>Staff: Takashi Yamazaki (Storyboard  (ep 4, 7))</v>
      </c>
    </row>
    <row r="1097" spans="1:32" x14ac:dyDescent="0.3">
      <c r="A1097" t="str">
        <f>HYPERLINK("https://anilist.co/staff/152703","Staff: Hirohisa Kitamura (CG Director)")</f>
        <v>Staff: Hirohisa Kitamura (CG Director)</v>
      </c>
      <c r="B1097" s="5">
        <v>80</v>
      </c>
      <c r="C1097" s="9">
        <v>1</v>
      </c>
      <c r="D1097" s="6">
        <v>1.4054813773717499E-4</v>
      </c>
      <c r="E1097" s="7">
        <v>1.12438510189739E-2</v>
      </c>
      <c r="AF1097" t="str">
        <v>Staff: Coharu Sakuraba (Original Creator)</v>
      </c>
    </row>
    <row r="1098" spans="1:32" x14ac:dyDescent="0.3">
      <c r="A1098" t="str">
        <f>HYPERLINK("https://anilist.co/staff/155772","Staff: Natsumi Hirama (Color Design)")</f>
        <v>Staff: Natsumi Hirama (Color Design)</v>
      </c>
      <c r="B1098" s="5">
        <v>80</v>
      </c>
      <c r="C1098" s="9">
        <v>1</v>
      </c>
      <c r="D1098" s="6">
        <v>1.4054813773717499E-4</v>
      </c>
      <c r="E1098" s="7">
        <v>1.12438510189739E-2</v>
      </c>
      <c r="AF1098" t="str">
        <v>Staff: Shinji Ochi (Character Design)</v>
      </c>
    </row>
    <row r="1099" spans="1:32" x14ac:dyDescent="0.3">
      <c r="A1099" t="str">
        <f>HYPERLINK("https://anilist.co/staff/146746","Staff: Daiji Horiuchi (Production)")</f>
        <v>Staff: Daiji Horiuchi (Production)</v>
      </c>
      <c r="B1099" s="5">
        <v>80</v>
      </c>
      <c r="C1099" s="9">
        <v>1</v>
      </c>
      <c r="D1099" s="6">
        <v>1.4054813773717499E-4</v>
      </c>
      <c r="E1099" s="7">
        <v>1.12438510189739E-2</v>
      </c>
      <c r="AF1099" t="str">
        <v>Staff: Shinji Ochi (Key Animation)</v>
      </c>
    </row>
    <row r="1100" spans="1:32" x14ac:dyDescent="0.3">
      <c r="A1100" t="str">
        <f>HYPERLINK("https://anilist.co/staff/151974","Staff: Haruki Satomi (Production)")</f>
        <v>Staff: Haruki Satomi (Production)</v>
      </c>
      <c r="B1100" s="5">
        <v>80</v>
      </c>
      <c r="C1100" s="9">
        <v>1</v>
      </c>
      <c r="D1100" s="6">
        <v>1.4054813773717499E-4</v>
      </c>
      <c r="E1100" s="7">
        <v>1.12438510189739E-2</v>
      </c>
      <c r="AF1100" t="str">
        <v>Staff: Yoshihiro Watanabe (Key Animation)</v>
      </c>
    </row>
    <row r="1101" spans="1:32" x14ac:dyDescent="0.3">
      <c r="A1101" t="str">
        <f>HYPERLINK("https://anilist.co/staff/147469","Staff: Taiji Misaka (Production)")</f>
        <v>Staff: Taiji Misaka (Production)</v>
      </c>
      <c r="B1101" s="5">
        <v>80</v>
      </c>
      <c r="C1101" s="9">
        <v>1</v>
      </c>
      <c r="D1101" s="6">
        <v>1.4054813773717499E-4</v>
      </c>
      <c r="E1101" s="7">
        <v>1.12438510189739E-2</v>
      </c>
      <c r="AF1101" t="str">
        <v>Staff: Yoshihiro Watanabe (Mechanical Design)</v>
      </c>
    </row>
    <row r="1102" spans="1:32" x14ac:dyDescent="0.3">
      <c r="A1102" t="str">
        <f>HYPERLINK("https://anilist.co/staff/95087","Staff: Daisuke Namikawa (Insert Song Performance  (6))")</f>
        <v>Staff: Daisuke Namikawa (Insert Song Performance  (6))</v>
      </c>
      <c r="B1102" s="5">
        <v>80</v>
      </c>
      <c r="C1102" s="9">
        <v>1</v>
      </c>
      <c r="D1102" s="6">
        <v>1.4054813773717499E-4</v>
      </c>
      <c r="E1102" s="7">
        <v>1.12438510189739E-2</v>
      </c>
      <c r="AF1102" t="str">
        <v>Staff: Masahiko Oota (Storyboard)</v>
      </c>
    </row>
    <row r="1103" spans="1:32" x14ac:dyDescent="0.3">
      <c r="A1103" t="str">
        <f>HYPERLINK("https://anilist.co/staff/101484","Staff: Ryou Kunihiko (Music)")</f>
        <v>Staff: Ryou Kunihiko (Music)</v>
      </c>
      <c r="B1103" s="5">
        <v>80</v>
      </c>
      <c r="C1103" s="9">
        <v>1</v>
      </c>
      <c r="D1103" s="6">
        <v>1.4054813773717499E-4</v>
      </c>
      <c r="E1103" s="7">
        <v>1.12438510189739E-2</v>
      </c>
      <c r="AF1103" t="str">
        <v>Staff: Masahiko Oota (Episode Director)</v>
      </c>
    </row>
    <row r="1104" spans="1:32" x14ac:dyDescent="0.3">
      <c r="A1104" t="str">
        <f>HYPERLINK("https://anilist.co/staff/101753","Staff: Shin Oonuma (Storyboard  (ep 10))")</f>
        <v>Staff: Shin Oonuma (Storyboard  (ep 10))</v>
      </c>
      <c r="B1104" s="5">
        <v>80</v>
      </c>
      <c r="C1104" s="9">
        <v>1</v>
      </c>
      <c r="D1104" s="6">
        <v>1.4054813773717499E-4</v>
      </c>
      <c r="E1104" s="7">
        <v>1.12438510189739E-2</v>
      </c>
      <c r="AF1104" t="str">
        <v>Staff: Akiko Matsuo (Animation Director  (ep. 12))</v>
      </c>
    </row>
    <row r="1105" spans="1:32" x14ac:dyDescent="0.3">
      <c r="A1105" t="str">
        <f>HYPERLINK("https://anilist.co/staff/102152","Staff: Joel Mcdonald (ADR Director (English))")</f>
        <v>Staff: Joel Mcdonald (ADR Director (English))</v>
      </c>
      <c r="B1105" s="5">
        <v>80</v>
      </c>
      <c r="C1105" s="9">
        <v>1</v>
      </c>
      <c r="D1105" s="6">
        <v>1.4054813773717499E-4</v>
      </c>
      <c r="E1105" s="7">
        <v>1.12438510189739E-2</v>
      </c>
      <c r="AF1105" t="str">
        <v>Staff: Takuya Satou (Storyboard  (ep 10))</v>
      </c>
    </row>
    <row r="1106" spans="1:32" x14ac:dyDescent="0.3">
      <c r="A1106" t="str">
        <f>HYPERLINK("https://anilist.co/staff/102166","Staff: Itsuko Takeda (Character Design)")</f>
        <v>Staff: Itsuko Takeda (Character Design)</v>
      </c>
      <c r="B1106" s="5">
        <v>80</v>
      </c>
      <c r="C1106" s="9">
        <v>1</v>
      </c>
      <c r="D1106" s="6">
        <v>1.4054813773717499E-4</v>
      </c>
      <c r="E1106" s="7">
        <v>1.12438510189739E-2</v>
      </c>
      <c r="AF1106" t="str">
        <v>Staff: Tetsurou Amino (Storyboard  (eps 4, 8, 12-13))</v>
      </c>
    </row>
    <row r="1107" spans="1:32" x14ac:dyDescent="0.3">
      <c r="A1107" t="str">
        <f>HYPERLINK("https://anilist.co/staff/105120","Staff: Chiaki Kuriyama (Theme Song Performance (OP))")</f>
        <v>Staff: Chiaki Kuriyama (Theme Song Performance (OP))</v>
      </c>
      <c r="B1107" s="5">
        <v>80</v>
      </c>
      <c r="C1107" s="9">
        <v>1</v>
      </c>
      <c r="D1107" s="6">
        <v>1.4054813773717499E-4</v>
      </c>
      <c r="E1107" s="7">
        <v>1.12438510189739E-2</v>
      </c>
      <c r="AF1107" t="str">
        <v>Staff: Takahiro Yamanaka (Producer)</v>
      </c>
    </row>
    <row r="1108" spans="1:32" x14ac:dyDescent="0.3">
      <c r="A1108" t="str">
        <f>HYPERLINK("https://anilist.co/staff/106683","Staff:  ViViD (Theme Song Performance (ED))")</f>
        <v>Staff:  ViViD (Theme Song Performance (ED))</v>
      </c>
      <c r="B1108" s="5">
        <v>80</v>
      </c>
      <c r="C1108" s="9">
        <v>1</v>
      </c>
      <c r="D1108" s="6">
        <v>1.4054813773717499E-4</v>
      </c>
      <c r="E1108" s="7">
        <v>1.12438510189739E-2</v>
      </c>
      <c r="AF1108" t="str">
        <v>Staff: Kenji Sugihara (Script (eps 3, 7, 11))</v>
      </c>
    </row>
    <row r="1109" spans="1:32" x14ac:dyDescent="0.3">
      <c r="A1109" t="str">
        <f>HYPERLINK("https://anilist.co/staff/106845","Staff: Toshiyuki Katou (Episode Director  (ep 1))")</f>
        <v>Staff: Toshiyuki Katou (Episode Director  (ep 1))</v>
      </c>
      <c r="B1109" s="5">
        <v>80</v>
      </c>
      <c r="C1109" s="9">
        <v>1</v>
      </c>
      <c r="D1109" s="6">
        <v>1.4054813773717499E-4</v>
      </c>
      <c r="E1109" s="7">
        <v>1.12438510189739E-2</v>
      </c>
      <c r="AF1109" t="str">
        <v>Staff: Takashi Aoshima (Script (eps 1, 5, 9, 12))</v>
      </c>
    </row>
    <row r="1110" spans="1:32" x14ac:dyDescent="0.3">
      <c r="A1110" t="str">
        <f>HYPERLINK("https://anilist.co/staff/106845","Staff: Toshiyuki Katou (Storyboard  (eps 1-3))")</f>
        <v>Staff: Toshiyuki Katou (Storyboard  (eps 1-3))</v>
      </c>
      <c r="B1110" s="5">
        <v>80</v>
      </c>
      <c r="C1110" s="9">
        <v>1</v>
      </c>
      <c r="D1110" s="6">
        <v>1.4054813773717499E-4</v>
      </c>
      <c r="E1110" s="7">
        <v>1.12438510189739E-2</v>
      </c>
      <c r="AF1110" t="str">
        <v>Staff: Hideaki Koyasu (Script (eps 2, 6, 10))</v>
      </c>
    </row>
    <row r="1111" spans="1:32" x14ac:dyDescent="0.3">
      <c r="A1111" t="str">
        <f>HYPERLINK("https://anilist.co/staff/106845","Staff: Toshiyuki Katou (Director)")</f>
        <v>Staff: Toshiyuki Katou (Director)</v>
      </c>
      <c r="B1111" s="5">
        <v>80</v>
      </c>
      <c r="C1111" s="9">
        <v>1</v>
      </c>
      <c r="D1111" s="6">
        <v>1.4054813773717499E-4</v>
      </c>
      <c r="E1111" s="7">
        <v>1.12438510189739E-2</v>
      </c>
      <c r="AF1111" t="str">
        <v>Staff: Kazuya Konomoto (Script (eps 1-13))</v>
      </c>
    </row>
    <row r="1112" spans="1:32" x14ac:dyDescent="0.3">
      <c r="A1112" t="str">
        <f>HYPERLINK("https://anilist.co/staff/110107","Staff: Naokatsu Tsuda (Episode Director  (ep 12))")</f>
        <v>Staff: Naokatsu Tsuda (Episode Director  (ep 12))</v>
      </c>
      <c r="B1112" s="5">
        <v>80</v>
      </c>
      <c r="C1112" s="9">
        <v>1</v>
      </c>
      <c r="D1112" s="6">
        <v>1.4054813773717499E-4</v>
      </c>
      <c r="E1112" s="7">
        <v>1.12438510189739E-2</v>
      </c>
      <c r="AF1112" t="str">
        <v>Staff: Baku Kinoshita (Director)</v>
      </c>
    </row>
    <row r="1113" spans="1:32" x14ac:dyDescent="0.3">
      <c r="A1113" t="str">
        <f>HYPERLINK("https://anilist.co/staff/111355","Staff: Shigeru Kimiya (Storyboard  (ep 6))")</f>
        <v>Staff: Shigeru Kimiya (Storyboard  (ep 6))</v>
      </c>
      <c r="B1113" s="5">
        <v>80</v>
      </c>
      <c r="C1113" s="9">
        <v>1</v>
      </c>
      <c r="D1113" s="6">
        <v>1.4054813773717499E-4</v>
      </c>
      <c r="E1113" s="7">
        <v>1.12438510189739E-2</v>
      </c>
      <c r="AF1113" t="str">
        <v>Staff: Kenji Katou (Art Director)</v>
      </c>
    </row>
    <row r="1114" spans="1:32" x14ac:dyDescent="0.3">
      <c r="A1114" t="str">
        <f>HYPERLINK("https://anilist.co/staff/111355","Staff: Shigeru Kimiya (Episode Director  (ep 6))")</f>
        <v>Staff: Shigeru Kimiya (Episode Director  (ep 6))</v>
      </c>
      <c r="B1114" s="5">
        <v>80</v>
      </c>
      <c r="C1114" s="9">
        <v>1</v>
      </c>
      <c r="D1114" s="6">
        <v>1.4054813773717499E-4</v>
      </c>
      <c r="E1114" s="7">
        <v>1.12438510189739E-2</v>
      </c>
      <c r="AF1114" t="str">
        <v>Staff: Baku Kinoshita (Character Design)</v>
      </c>
    </row>
    <row r="1115" spans="1:32" x14ac:dyDescent="0.3">
      <c r="A1115" t="str">
        <f>HYPERLINK("https://anilist.co/staff/114327","Staff: Hajime Takakuwa (Sound Director)")</f>
        <v>Staff: Hajime Takakuwa (Sound Director)</v>
      </c>
      <c r="B1115" s="5">
        <v>80</v>
      </c>
      <c r="C1115" s="9">
        <v>1</v>
      </c>
      <c r="D1115" s="6">
        <v>1.4054813773717499E-4</v>
      </c>
      <c r="E1115" s="7">
        <v>1.12438510189739E-2</v>
      </c>
      <c r="AF1115" t="str">
        <v>Staff: Hiromi Nakayama (Character Design)</v>
      </c>
    </row>
    <row r="1116" spans="1:32" x14ac:dyDescent="0.3">
      <c r="A1116" t="str">
        <f>HYPERLINK("https://anilist.co/staff/115623","Staff: Hiroki Harada (Key Animation  (OP))")</f>
        <v>Staff: Hiroki Harada (Key Animation  (OP))</v>
      </c>
      <c r="B1116" s="5">
        <v>80</v>
      </c>
      <c r="C1116" s="9">
        <v>1</v>
      </c>
      <c r="D1116" s="6">
        <v>1.4054813773717499E-4</v>
      </c>
      <c r="E1116" s="7">
        <v>1.12438510189739E-2</v>
      </c>
      <c r="AF1116" t="str">
        <v>Staff: Norio Nitta (Assistant Director)</v>
      </c>
    </row>
    <row r="1117" spans="1:32" x14ac:dyDescent="0.3">
      <c r="A1117" t="str">
        <f>HYPERLINK("https://anilist.co/staff/122343","Staff: Tetsuya Wakano (Key Animation (ep 8))")</f>
        <v>Staff: Tetsuya Wakano (Key Animation (ep 8))</v>
      </c>
      <c r="B1117" s="5">
        <v>80</v>
      </c>
      <c r="C1117" s="9">
        <v>1</v>
      </c>
      <c r="D1117" s="6">
        <v>1.4054813773717499E-4</v>
      </c>
      <c r="E1117" s="7">
        <v>1.12438510189739E-2</v>
      </c>
      <c r="AF1117" t="str">
        <v>Staff: Miyabi Amada (Director of Photography)</v>
      </c>
    </row>
    <row r="1118" spans="1:32" x14ac:dyDescent="0.3">
      <c r="A1118" t="str">
        <f>HYPERLINK("https://anilist.co/staff/122609","Staff: Tomoko Fukunaga (Key Animation (ep 3))")</f>
        <v>Staff: Tomoko Fukunaga (Key Animation (ep 3))</v>
      </c>
      <c r="B1118" s="5">
        <v>80</v>
      </c>
      <c r="C1118" s="9">
        <v>1</v>
      </c>
      <c r="D1118" s="6">
        <v>1.4054813773717499E-4</v>
      </c>
      <c r="E1118" s="7">
        <v>1.12438510189739E-2</v>
      </c>
      <c r="AF1118" t="str">
        <v>Staff: Tatsue Oozeki (Color Design)</v>
      </c>
    </row>
    <row r="1119" spans="1:32" x14ac:dyDescent="0.3">
      <c r="A1119" t="str">
        <f>HYPERLINK("https://anilist.co/staff/121962","Staff: Manabu Akita (Key Animation (ep 10))")</f>
        <v>Staff: Manabu Akita (Key Animation (ep 10))</v>
      </c>
      <c r="B1119" s="5">
        <v>80</v>
      </c>
      <c r="C1119" s="9">
        <v>1</v>
      </c>
      <c r="D1119" s="6">
        <v>1.4054813773717499E-4</v>
      </c>
      <c r="E1119" s="7">
        <v>1.12438510189739E-2</v>
      </c>
      <c r="AF1119" t="str">
        <v>Staff: Yoshiki Ushiroda (Editing)</v>
      </c>
    </row>
    <row r="1120" spans="1:32" x14ac:dyDescent="0.3">
      <c r="A1120" t="str">
        <f>HYPERLINK("https://anilist.co/staff/116151","Staff:  Katsuwo (Original Creator)")</f>
        <v>Staff:  Katsuwo (Original Creator)</v>
      </c>
      <c r="B1120" s="5">
        <v>80</v>
      </c>
      <c r="C1120" s="9">
        <v>1</v>
      </c>
      <c r="D1120" s="6">
        <v>1.4054813773717499E-4</v>
      </c>
      <c r="E1120" s="7">
        <v>1.12438510189739E-2</v>
      </c>
      <c r="AF1120" t="str">
        <v>Staff: Kouhei Yoshida (Sound Director)</v>
      </c>
    </row>
    <row r="1121" spans="1:32" x14ac:dyDescent="0.3">
      <c r="A1121" t="str">
        <f>HYPERLINK("https://anilist.co/staff/121384","Staff: Tomoyuki Kawamura (Director)")</f>
        <v>Staff: Tomoyuki Kawamura (Director)</v>
      </c>
      <c r="B1121" s="5">
        <v>80</v>
      </c>
      <c r="C1121" s="9">
        <v>1</v>
      </c>
      <c r="D1121" s="6">
        <v>1.4054813773717499E-4</v>
      </c>
      <c r="E1121" s="7">
        <v>1.12438510189739E-2</v>
      </c>
      <c r="AF1121" t="str">
        <v>Staff: PUNPEE (Music)</v>
      </c>
    </row>
    <row r="1122" spans="1:32" x14ac:dyDescent="0.3">
      <c r="A1122" t="str">
        <f>HYPERLINK("https://anilist.co/staff/121385","Staff: Takumi Yokota (Character Design)")</f>
        <v>Staff: Takumi Yokota (Character Design)</v>
      </c>
      <c r="B1122" s="5">
        <v>80</v>
      </c>
      <c r="C1122" s="9">
        <v>1</v>
      </c>
      <c r="D1122" s="6">
        <v>1.4054813773717499E-4</v>
      </c>
      <c r="E1122" s="7">
        <v>1.12438510189739E-2</v>
      </c>
      <c r="AF1122" t="str">
        <v>Staff: OMSB (Music)</v>
      </c>
    </row>
    <row r="1123" spans="1:32" x14ac:dyDescent="0.3">
      <c r="A1123" t="str">
        <f>HYPERLINK("https://anilist.co/staff/118776","Staff: Shougo Yasukawa (Series Composition)")</f>
        <v>Staff: Shougo Yasukawa (Series Composition)</v>
      </c>
      <c r="B1123" s="5">
        <v>80</v>
      </c>
      <c r="C1123" s="9">
        <v>1</v>
      </c>
      <c r="D1123" s="6">
        <v>1.4054813773717499E-4</v>
      </c>
      <c r="E1123" s="7">
        <v>1.12438510189739E-2</v>
      </c>
      <c r="AF1123" t="str">
        <v>Staff: VaVa (Music)</v>
      </c>
    </row>
    <row r="1124" spans="1:32" x14ac:dyDescent="0.3">
      <c r="A1124" t="str">
        <f>HYPERLINK("https://anilist.co/staff/119342","Staff: Masato Jinbou (Episode Director (ep 10))")</f>
        <v>Staff: Masato Jinbou (Episode Director (ep 10))</v>
      </c>
      <c r="B1124" s="5">
        <v>80</v>
      </c>
      <c r="C1124" s="9">
        <v>1</v>
      </c>
      <c r="D1124" s="6">
        <v>1.4054813773717499E-4</v>
      </c>
      <c r="E1124" s="7">
        <v>1.12438510189739E-2</v>
      </c>
      <c r="AF1124" t="str">
        <v>Staff: Wataru Sawabe (Theme Song Performance (OP))</v>
      </c>
    </row>
    <row r="1125" spans="1:32" x14ac:dyDescent="0.3">
      <c r="A1125" t="str">
        <f>HYPERLINK("https://anilist.co/staff/121384","Staff: Tomoyuki Kawamura (Episode Director (eps 1, 12))")</f>
        <v>Staff: Tomoyuki Kawamura (Episode Director (eps 1, 12))</v>
      </c>
      <c r="B1125" s="5">
        <v>80</v>
      </c>
      <c r="C1125" s="9">
        <v>1</v>
      </c>
      <c r="D1125" s="6">
        <v>1.4054813773717499E-4</v>
      </c>
      <c r="E1125" s="7">
        <v>1.12438510189739E-2</v>
      </c>
      <c r="AF1125" t="str">
        <v>Staff: Suzuko Mimori (Theme Song Performance (ED))</v>
      </c>
    </row>
    <row r="1126" spans="1:32" x14ac:dyDescent="0.3">
      <c r="A1126" t="str">
        <f>HYPERLINK("https://anilist.co/staff/144238","Staff: Mizuki Takahashi (Key Animation (OP))")</f>
        <v>Staff: Mizuki Takahashi (Key Animation (OP))</v>
      </c>
      <c r="B1126" s="5">
        <v>80</v>
      </c>
      <c r="C1126" s="9">
        <v>1</v>
      </c>
      <c r="D1126" s="6">
        <v>1.4054813773717499E-4</v>
      </c>
      <c r="E1126" s="7">
        <v>1.12438510189739E-2</v>
      </c>
      <c r="AF1126" t="str">
        <v>Staff: PUNPEE (Theme Song Performance (OP))</v>
      </c>
    </row>
    <row r="1127" spans="1:32" x14ac:dyDescent="0.3">
      <c r="A1127" t="str">
        <f>HYPERLINK("https://anilist.co/staff/121385","Staff: Takumi Yokota (Chief Animation Director (1, 3, 5-6, 8, 10, 12))")</f>
        <v>Staff: Takumi Yokota (Chief Animation Director (1, 3, 5-6, 8, 10, 12))</v>
      </c>
      <c r="B1127" s="5">
        <v>80</v>
      </c>
      <c r="C1127" s="9">
        <v>1</v>
      </c>
      <c r="D1127" s="6">
        <v>1.4054813773717499E-4</v>
      </c>
      <c r="E1127" s="7">
        <v>1.12438510189739E-2</v>
      </c>
      <c r="AF1127" t="str">
        <v>Staff: Yoshifumi Yarimizu (Music Producer)</v>
      </c>
    </row>
    <row r="1128" spans="1:32" x14ac:dyDescent="0.3">
      <c r="A1128" t="str">
        <f>HYPERLINK("https://anilist.co/staff/128759","Staff: Ryousuke Yamamoto (Chief Animation Director (2, 4, 7, 9, 11))")</f>
        <v>Staff: Ryousuke Yamamoto (Chief Animation Director (2, 4, 7, 9, 11))</v>
      </c>
      <c r="B1128" s="5">
        <v>80</v>
      </c>
      <c r="C1128" s="9">
        <v>1</v>
      </c>
      <c r="D1128" s="6">
        <v>1.4054813773717499E-4</v>
      </c>
      <c r="E1128" s="7">
        <v>1.12438510189739E-2</v>
      </c>
      <c r="AF1128" t="str">
        <v>Staff: Hideki Kama (Producer)</v>
      </c>
    </row>
    <row r="1129" spans="1:32" x14ac:dyDescent="0.3">
      <c r="A1129" t="str">
        <f>HYPERLINK("https://anilist.co/staff/111993","Staff: ONE  (Original Story)")</f>
        <v>Staff: ONE  (Original Story)</v>
      </c>
      <c r="B1129" s="5">
        <v>80</v>
      </c>
      <c r="C1129" s="9">
        <v>1</v>
      </c>
      <c r="D1129" s="6">
        <v>1.4054813773717499E-4</v>
      </c>
      <c r="E1129" s="7">
        <v>1.12438510189739E-2</v>
      </c>
      <c r="AF1129" t="str">
        <v>Staff: Hirofumi Itou (Producer)</v>
      </c>
    </row>
    <row r="1130" spans="1:32" x14ac:dyDescent="0.3">
      <c r="A1130" t="str">
        <f>HYPERLINK("https://anilist.co/staff/96903","Staff: Yuusuke Murata (Original Character Design)")</f>
        <v>Staff: Yuusuke Murata (Original Character Design)</v>
      </c>
      <c r="B1130" s="5">
        <v>80</v>
      </c>
      <c r="C1130" s="9">
        <v>1</v>
      </c>
      <c r="D1130" s="6">
        <v>1.4054813773717499E-4</v>
      </c>
      <c r="E1130" s="7">
        <v>1.12438510189739E-2</v>
      </c>
      <c r="AF1130" t="str">
        <v>Staff: Aya Iizuka (Producer)</v>
      </c>
    </row>
    <row r="1131" spans="1:32" x14ac:dyDescent="0.3">
      <c r="A1131" t="str">
        <f>HYPERLINK("https://anilist.co/staff/118928","Staff: Shingo Natsume (Director)")</f>
        <v>Staff: Shingo Natsume (Director)</v>
      </c>
      <c r="B1131" s="5">
        <v>80</v>
      </c>
      <c r="C1131" s="9">
        <v>1</v>
      </c>
      <c r="D1131" s="6">
        <v>1.4054813773717499E-4</v>
      </c>
      <c r="E1131" s="7">
        <v>1.12438510189739E-2</v>
      </c>
      <c r="AF1131" t="str">
        <v>Staff: Akiko Nabeiwa (Producer)</v>
      </c>
    </row>
    <row r="1132" spans="1:32" x14ac:dyDescent="0.3">
      <c r="A1132" t="str">
        <f>HYPERLINK("https://anilist.co/staff/105913","Staff: Chikashi Kubota (Character Design)")</f>
        <v>Staff: Chikashi Kubota (Character Design)</v>
      </c>
      <c r="B1132" s="5">
        <v>80</v>
      </c>
      <c r="C1132" s="9">
        <v>1</v>
      </c>
      <c r="D1132" s="6">
        <v>1.4054813773717499E-4</v>
      </c>
      <c r="E1132" s="7">
        <v>1.12438510189739E-2</v>
      </c>
      <c r="AF1132" t="str">
        <v>Staff: Mitsugu Yamada (Producer)</v>
      </c>
    </row>
    <row r="1133" spans="1:32" x14ac:dyDescent="0.3">
      <c r="A1133" t="str">
        <f>HYPERLINK("https://anilist.co/staff/119119","Staff: Tomohiro Suzuki (Series Composition)")</f>
        <v>Staff: Tomohiro Suzuki (Series Composition)</v>
      </c>
      <c r="B1133" s="5">
        <v>80</v>
      </c>
      <c r="C1133" s="9">
        <v>1</v>
      </c>
      <c r="D1133" s="6">
        <v>1.4054813773717499E-4</v>
      </c>
      <c r="E1133" s="7">
        <v>1.12438510189739E-2</v>
      </c>
      <c r="AF1133" t="str">
        <v>Staff: Nobuhiko Kurosu (Producer)</v>
      </c>
    </row>
    <row r="1134" spans="1:32" x14ac:dyDescent="0.3">
      <c r="A1134" t="str">
        <f>HYPERLINK("https://anilist.co/staff/102041","Staff:  JAM Project (Theme Song Performance (OP))")</f>
        <v>Staff:  JAM Project (Theme Song Performance (OP))</v>
      </c>
      <c r="B1134" s="5">
        <v>80</v>
      </c>
      <c r="C1134" s="9">
        <v>1</v>
      </c>
      <c r="D1134" s="6">
        <v>1.4054813773717499E-4</v>
      </c>
      <c r="E1134" s="7">
        <v>1.12438510189739E-2</v>
      </c>
      <c r="AF1134" t="str">
        <v>Staff: Kousuke Kazuno (Producer)</v>
      </c>
    </row>
    <row r="1135" spans="1:32" x14ac:dyDescent="0.3">
      <c r="A1135" t="str">
        <f>HYPERLINK("https://anilist.co/staff/104505","Staff: Hiroko Moriguchi (Theme Song Performance (ED))")</f>
        <v>Staff: Hiroko Moriguchi (Theme Song Performance (ED))</v>
      </c>
      <c r="B1135" s="5">
        <v>80</v>
      </c>
      <c r="C1135" s="9">
        <v>1</v>
      </c>
      <c r="D1135" s="6">
        <v>1.4054813773717499E-4</v>
      </c>
      <c r="E1135" s="7">
        <v>1.12438510189739E-2</v>
      </c>
      <c r="AF1135" t="str">
        <v>Staff: Daisuke Yoshioka (Animation Producer)</v>
      </c>
    </row>
    <row r="1136" spans="1:32" x14ac:dyDescent="0.3">
      <c r="A1136" t="str">
        <f>HYPERLINK("https://anilist.co/staff/109497","Staff: Makoto Miyazaki (Music)")</f>
        <v>Staff: Makoto Miyazaki (Music)</v>
      </c>
      <c r="B1136" s="5">
        <v>80</v>
      </c>
      <c r="C1136" s="9">
        <v>1</v>
      </c>
      <c r="D1136" s="6">
        <v>1.4054813773717499E-4</v>
      </c>
      <c r="E1136" s="7">
        <v>1.12438510189739E-2</v>
      </c>
      <c r="AF1136" t="str">
        <v>Staff: every♥ing! (Theme Song Performance (OP))</v>
      </c>
    </row>
    <row r="1137" spans="1:32" x14ac:dyDescent="0.3">
      <c r="A1137" t="str">
        <f>HYPERLINK("https://anilist.co/staff/120120","Staff: Bahi JD (Key Animation (ep 9))")</f>
        <v>Staff: Bahi JD (Key Animation (ep 9))</v>
      </c>
      <c r="B1137" s="5">
        <v>80</v>
      </c>
      <c r="C1137" s="9">
        <v>1</v>
      </c>
      <c r="D1137" s="6">
        <v>1.4054813773717499E-4</v>
      </c>
      <c r="E1137" s="7">
        <v>1.12438510189739E-2</v>
      </c>
      <c r="AF1137" t="str">
        <v>Staff: Takashi Yoshida (Planning)</v>
      </c>
    </row>
    <row r="1138" spans="1:32" x14ac:dyDescent="0.3">
      <c r="A1138" t="str">
        <f>HYPERLINK("https://anilist.co/staff/121204","Staff: Isao Hayashi (Key Animation (ep 12))")</f>
        <v>Staff: Isao Hayashi (Key Animation (ep 12))</v>
      </c>
      <c r="B1138" s="5">
        <v>80</v>
      </c>
      <c r="C1138" s="9">
        <v>1</v>
      </c>
      <c r="D1138" s="6">
        <v>1.4054813773717499E-4</v>
      </c>
      <c r="E1138" s="7">
        <v>1.12438510189739E-2</v>
      </c>
      <c r="AF1138" t="str">
        <v>Staff: Gorou Shinjuku (Planning)</v>
      </c>
    </row>
    <row r="1139" spans="1:32" x14ac:dyDescent="0.3">
      <c r="A1139" t="str">
        <f>HYPERLINK("https://anilist.co/staff/115623","Staff: Hiroki Harada (Key Animation (OP))")</f>
        <v>Staff: Hiroki Harada (Key Animation (OP))</v>
      </c>
      <c r="B1139" s="5">
        <v>80</v>
      </c>
      <c r="C1139" s="9">
        <v>1</v>
      </c>
      <c r="D1139" s="6">
        <v>1.4054813773717499E-4</v>
      </c>
      <c r="E1139" s="7">
        <v>1.12438510189739E-2</v>
      </c>
      <c r="AF1139" t="str">
        <v>Staff: Mami Gotou (Director of Photography)</v>
      </c>
    </row>
    <row r="1140" spans="1:32" x14ac:dyDescent="0.3">
      <c r="A1140" t="str">
        <f>HYPERLINK("https://anilist.co/staff/101801","Staff: Yutaka Nakamura (Key Animation (ep 12))")</f>
        <v>Staff: Yutaka Nakamura (Key Animation (ep 12))</v>
      </c>
      <c r="B1140" s="5">
        <v>80</v>
      </c>
      <c r="C1140" s="9">
        <v>1</v>
      </c>
      <c r="D1140" s="6">
        <v>1.4054813773717499E-4</v>
      </c>
      <c r="E1140" s="7">
        <v>1.12438510189739E-2</v>
      </c>
      <c r="AF1140" t="str">
        <v>Staff: Kazuaki Morijiri (Producer)</v>
      </c>
    </row>
    <row r="1141" spans="1:32" x14ac:dyDescent="0.3">
      <c r="A1141" t="str">
        <f>HYPERLINK("https://anilist.co/staff/100392","Staff: Mahiro Maeda (Key Animation (ep 12))")</f>
        <v>Staff: Mahiro Maeda (Key Animation (ep 12))</v>
      </c>
      <c r="B1141" s="5">
        <v>80</v>
      </c>
      <c r="C1141" s="9">
        <v>1</v>
      </c>
      <c r="D1141" s="6">
        <v>1.4054813773717499E-4</v>
      </c>
      <c r="E1141" s="7">
        <v>1.12438510189739E-2</v>
      </c>
      <c r="AF1141" t="str">
        <v>Staff: Toshiko Kaizu (Art Director)</v>
      </c>
    </row>
    <row r="1142" spans="1:32" x14ac:dyDescent="0.3">
      <c r="A1142" t="str">
        <f>HYPERLINK("https://anilist.co/staff/105913","Staff: Chikashi Kubota (Chief Animation Director (eps 2-11))")</f>
        <v>Staff: Chikashi Kubota (Chief Animation Director (eps 2-11))</v>
      </c>
      <c r="B1142" s="5">
        <v>80</v>
      </c>
      <c r="C1142" s="9">
        <v>1</v>
      </c>
      <c r="D1142" s="6">
        <v>1.4054813773717499E-4</v>
      </c>
      <c r="E1142" s="7">
        <v>1.12438510189739E-2</v>
      </c>
      <c r="AF1142" t="str">
        <v>Staff: Mineyo Oonishi (Color Design)</v>
      </c>
    </row>
    <row r="1143" spans="1:32" x14ac:dyDescent="0.3">
      <c r="A1143" t="str">
        <f>HYPERLINK("https://anilist.co/staff/125144","Staff: Shinichirou Ushijima (Assistant Director)")</f>
        <v>Staff: Shinichirou Ushijima (Assistant Director)</v>
      </c>
      <c r="B1143" s="5">
        <v>80</v>
      </c>
      <c r="C1143" s="9">
        <v>1</v>
      </c>
      <c r="D1143" s="6">
        <v>1.4054813773717499E-4</v>
      </c>
      <c r="E1143" s="7">
        <v>1.12438510189739E-2</v>
      </c>
      <c r="AF1143" t="str">
        <v>Staff: Shinichi Kinoshita (Production Desk)</v>
      </c>
    </row>
    <row r="1144" spans="1:32" x14ac:dyDescent="0.3">
      <c r="A1144" t="str">
        <f>HYPERLINK("https://anilist.co/staff/118928","Staff: Shingo Natsume (Episode Director (OP, eps 1, 12))")</f>
        <v>Staff: Shingo Natsume (Episode Director (OP, eps 1, 12))</v>
      </c>
      <c r="B1144" s="5">
        <v>80</v>
      </c>
      <c r="C1144" s="9">
        <v>1</v>
      </c>
      <c r="D1144" s="6">
        <v>1.4054813773717499E-4</v>
      </c>
      <c r="E1144" s="7">
        <v>1.12438510189739E-2</v>
      </c>
      <c r="AF1144" t="str">
        <v>Staff: Ayano Enomoto (Background Art (eps 1, 3, 4))</v>
      </c>
    </row>
    <row r="1145" spans="1:32" x14ac:dyDescent="0.3">
      <c r="A1145" t="str">
        <f>HYPERLINK("https://anilist.co/staff/125144","Staff: Shinichirou Ushijima (Episode Director (ED, eps 2, 6, 10))")</f>
        <v>Staff: Shinichirou Ushijima (Episode Director (ED, eps 2, 6, 10))</v>
      </c>
      <c r="B1145" s="5">
        <v>80</v>
      </c>
      <c r="C1145" s="9">
        <v>1</v>
      </c>
      <c r="D1145" s="6">
        <v>1.4054813773717499E-4</v>
      </c>
      <c r="E1145" s="7">
        <v>1.12438510189739E-2</v>
      </c>
      <c r="AF1145" t="str">
        <v>Staff: Tsuguharu Sakurai (Executive Producer)</v>
      </c>
    </row>
    <row r="1146" spans="1:32" x14ac:dyDescent="0.3">
      <c r="A1146" t="str">
        <f>HYPERLINK("https://anilist.co/staff/124887","Staff: Nobuhiro Mutou (Episode Director (eps 4, 8))")</f>
        <v>Staff: Nobuhiro Mutou (Episode Director (eps 4, 8))</v>
      </c>
      <c r="B1146" s="5">
        <v>80</v>
      </c>
      <c r="C1146" s="9">
        <v>1</v>
      </c>
      <c r="D1146" s="6">
        <v>1.4054813773717499E-4</v>
      </c>
      <c r="E1146" s="7">
        <v>1.12438510189739E-2</v>
      </c>
      <c r="AF1146" t="str">
        <v>Staff: Makoto Kuwahara (Production Generalization)</v>
      </c>
    </row>
    <row r="1147" spans="1:32" x14ac:dyDescent="0.3">
      <c r="A1147" t="str">
        <f>HYPERLINK("https://anilist.co/staff/125479","Staff: Shunichi Yoshizawa (Episode Director (eps 5, 9))")</f>
        <v>Staff: Shunichi Yoshizawa (Episode Director (eps 5, 9))</v>
      </c>
      <c r="B1147" s="5">
        <v>80</v>
      </c>
      <c r="C1147" s="9">
        <v>1</v>
      </c>
      <c r="D1147" s="6">
        <v>1.4054813773717499E-4</v>
      </c>
      <c r="E1147" s="7">
        <v>1.12438510189739E-2</v>
      </c>
      <c r="AF1147" t="str">
        <v>Staff: Tadakazu Hiraga (Producer)</v>
      </c>
    </row>
    <row r="1148" spans="1:32" x14ac:dyDescent="0.3">
      <c r="A1148" t="str">
        <f>HYPERLINK("https://anilist.co/staff/118928","Staff: Shingo Natsume (Storyboard (OP, eps 1-3, 12))")</f>
        <v>Staff: Shingo Natsume (Storyboard (OP, eps 1-3, 12))</v>
      </c>
      <c r="B1148" s="5">
        <v>80</v>
      </c>
      <c r="C1148" s="9">
        <v>1</v>
      </c>
      <c r="D1148" s="6">
        <v>1.4054813773717499E-4</v>
      </c>
      <c r="E1148" s="7">
        <v>1.12438510189739E-2</v>
      </c>
      <c r="AF1148" t="str">
        <v>Staff: Siman Wei (Assistant Art Director)</v>
      </c>
    </row>
    <row r="1149" spans="1:32" x14ac:dyDescent="0.3">
      <c r="A1149" t="str">
        <f>HYPERLINK("https://anilist.co/staff/133844","Staff: Katsunori Shibata (Storyboard (ep 4))")</f>
        <v>Staff: Katsunori Shibata (Storyboard (ep 4))</v>
      </c>
      <c r="B1149" s="5">
        <v>80</v>
      </c>
      <c r="C1149" s="9">
        <v>1</v>
      </c>
      <c r="D1149" s="6">
        <v>1.4054813773717499E-4</v>
      </c>
      <c r="E1149" s="7">
        <v>1.12438510189739E-2</v>
      </c>
      <c r="AF1149" t="str">
        <v>Staff: Miho Hora (Production Desk)</v>
      </c>
    </row>
    <row r="1150" spans="1:32" x14ac:dyDescent="0.3">
      <c r="A1150" t="str">
        <f>HYPERLINK("https://anilist.co/staff/125144","Staff: Shinichirou Ushijima (Storyboard (ED, eps 4, 6) )")</f>
        <v>Staff: Shinichirou Ushijima (Storyboard (ED, eps 4, 6) )</v>
      </c>
      <c r="B1150" s="5">
        <v>80</v>
      </c>
      <c r="C1150" s="9">
        <v>1</v>
      </c>
      <c r="D1150" s="6">
        <v>1.4054813773717499E-4</v>
      </c>
      <c r="E1150" s="7">
        <v>1.12438510189739E-2</v>
      </c>
      <c r="AF1150" t="str">
        <v>Staff: Kengo Kawazoe (Sound Director)</v>
      </c>
    </row>
    <row r="1151" spans="1:32" x14ac:dyDescent="0.3">
      <c r="A1151" t="str">
        <f>HYPERLINK("https://anilist.co/staff/101029","Staff: Crystal na Yousuke  (Original Creator)")</f>
        <v>Staff: Crystal na Yousuke  (Original Creator)</v>
      </c>
      <c r="B1151" s="5">
        <v>80</v>
      </c>
      <c r="C1151" s="9">
        <v>1</v>
      </c>
      <c r="D1151" s="6">
        <v>1.4054813773717499E-4</v>
      </c>
      <c r="E1151" s="7">
        <v>1.12438510189739E-2</v>
      </c>
      <c r="AF1151" t="str">
        <v>Staff: Rei Ueno (Sound Effects)</v>
      </c>
    </row>
    <row r="1152" spans="1:32" x14ac:dyDescent="0.3">
      <c r="A1152" t="str">
        <f>HYPERLINK("https://anilist.co/staff/123925","Staff: Cellchrome  (Theme Song Performance (OP))")</f>
        <v>Staff: Cellchrome  (Theme Song Performance (OP))</v>
      </c>
      <c r="B1152" s="5">
        <v>80</v>
      </c>
      <c r="C1152" s="9">
        <v>1</v>
      </c>
      <c r="D1152" s="6">
        <v>1.4054813773717499E-4</v>
      </c>
      <c r="E1152" s="7">
        <v>1.12438510189739E-2</v>
      </c>
      <c r="AF1152" t="str">
        <v>Staff: Satoru Kuwabara (Music Producer)</v>
      </c>
    </row>
    <row r="1153" spans="1:32" x14ac:dyDescent="0.3">
      <c r="A1153" t="str">
        <f>HYPERLINK("https://anilist.co/staff/120296","Staff: Hisayoshi Hirasawa (Chief Director)")</f>
        <v>Staff: Hisayoshi Hirasawa (Chief Director)</v>
      </c>
      <c r="B1153" s="5">
        <v>80</v>
      </c>
      <c r="C1153" s="9">
        <v>1</v>
      </c>
      <c r="D1153" s="6">
        <v>1.4054813773717499E-4</v>
      </c>
      <c r="E1153" s="7">
        <v>1.12438510189739E-2</v>
      </c>
      <c r="AF1153" t="str">
        <v>Staff: Rio Mitsuyama (Recording Assistant)</v>
      </c>
    </row>
    <row r="1154" spans="1:32" x14ac:dyDescent="0.3">
      <c r="A1154" t="str">
        <f>HYPERLINK("https://anilist.co/staff/123932","Staff: WORDS in STEREO  (Series Composition)")</f>
        <v>Staff: WORDS in STEREO  (Series Composition)</v>
      </c>
      <c r="B1154" s="5">
        <v>80</v>
      </c>
      <c r="C1154" s="9">
        <v>1</v>
      </c>
      <c r="D1154" s="6">
        <v>1.4054813773717499E-4</v>
      </c>
      <c r="E1154" s="7">
        <v>1.12438510189739E-2</v>
      </c>
      <c r="AF1154" t="str">
        <v>Staff: Takumi Sunakohara (Key Animation (ep 2))</v>
      </c>
    </row>
    <row r="1155" spans="1:32" x14ac:dyDescent="0.3">
      <c r="A1155" t="str">
        <f>HYPERLINK("https://anilist.co/staff/123933","Staff: Yuzuko Hanai (Character Design)")</f>
        <v>Staff: Yuzuko Hanai (Character Design)</v>
      </c>
      <c r="B1155" s="5">
        <v>80</v>
      </c>
      <c r="C1155" s="9">
        <v>1</v>
      </c>
      <c r="D1155" s="6">
        <v>1.4054813773717499E-4</v>
      </c>
      <c r="E1155" s="7">
        <v>1.12438510189739E-2</v>
      </c>
      <c r="AF1155" t="str">
        <v>Staff: Yuuki Ogawa (Episode Director (eps 1-12))</v>
      </c>
    </row>
    <row r="1156" spans="1:32" x14ac:dyDescent="0.3">
      <c r="A1156" t="str">
        <f>HYPERLINK("https://anilist.co/staff/123934","Staff: Kouji Hayashi (Director of Photography)")</f>
        <v>Staff: Kouji Hayashi (Director of Photography)</v>
      </c>
      <c r="B1156" s="5">
        <v>80</v>
      </c>
      <c r="C1156" s="9">
        <v>1</v>
      </c>
      <c r="D1156" s="6">
        <v>1.4054813773717499E-4</v>
      </c>
      <c r="E1156" s="7">
        <v>1.12438510189739E-2</v>
      </c>
      <c r="AF1156" t="str">
        <v>Staff: Takuya Noshiro (Editing)</v>
      </c>
    </row>
    <row r="1157" spans="1:32" x14ac:dyDescent="0.3">
      <c r="A1157" t="str">
        <f>HYPERLINK("https://anilist.co/staff/123935","Staff: Taichi Hatanaka (Animation Producer)")</f>
        <v>Staff: Taichi Hatanaka (Animation Producer)</v>
      </c>
      <c r="B1157" s="5">
        <v>80</v>
      </c>
      <c r="C1157" s="9">
        <v>1</v>
      </c>
      <c r="D1157" s="6">
        <v>1.4054813773717499E-4</v>
      </c>
      <c r="E1157" s="7">
        <v>1.12438510189739E-2</v>
      </c>
      <c r="AF1157" t="str">
        <v>Staff: Hideyuki Saida (Production Committee)</v>
      </c>
    </row>
    <row r="1158" spans="1:32" x14ac:dyDescent="0.3">
      <c r="A1158" t="str">
        <f>HYPERLINK("https://anilist.co/staff/123936","Staff: Miki Sorakubo (Color Design)")</f>
        <v>Staff: Miki Sorakubo (Color Design)</v>
      </c>
      <c r="B1158" s="5">
        <v>80</v>
      </c>
      <c r="C1158" s="9">
        <v>1</v>
      </c>
      <c r="D1158" s="6">
        <v>1.4054813773717499E-4</v>
      </c>
      <c r="E1158" s="7">
        <v>1.12438510189739E-2</v>
      </c>
      <c r="AF1158" t="str">
        <v>Staff: Tatsuya Yoshihara (Storyboard (OP))</v>
      </c>
    </row>
    <row r="1159" spans="1:32" x14ac:dyDescent="0.3">
      <c r="A1159" t="str">
        <f>HYPERLINK("https://anilist.co/staff/120296","Staff: Hisayoshi Hirasawa (Sound Director)")</f>
        <v>Staff: Hisayoshi Hirasawa (Sound Director)</v>
      </c>
      <c r="B1159" s="5">
        <v>80</v>
      </c>
      <c r="C1159" s="9">
        <v>1</v>
      </c>
      <c r="D1159" s="6">
        <v>1.4054813773717499E-4</v>
      </c>
      <c r="E1159" s="7">
        <v>1.12438510189739E-2</v>
      </c>
      <c r="AF1159" t="str">
        <v>Staff: Atsuki Shimizu (Character Design)</v>
      </c>
    </row>
    <row r="1160" spans="1:32" x14ac:dyDescent="0.3">
      <c r="A1160" t="str">
        <f>HYPERLINK("https://anilist.co/staff/156946","Staff: Saori Tachibana (Director)")</f>
        <v>Staff: Saori Tachibana (Director)</v>
      </c>
      <c r="B1160" s="5">
        <v>80</v>
      </c>
      <c r="C1160" s="9">
        <v>1</v>
      </c>
      <c r="D1160" s="6">
        <v>1.4054813773717499E-4</v>
      </c>
      <c r="E1160" s="7">
        <v>1.12438510189739E-2</v>
      </c>
      <c r="AF1160" t="str">
        <v>Staff: Nobuhiro Nagata (Key Animation (ep 11))</v>
      </c>
    </row>
    <row r="1161" spans="1:32" x14ac:dyDescent="0.3">
      <c r="A1161" t="str">
        <f>HYPERLINK("https://anilist.co/staff/123157","Staff: Imari Arita (Original Creator)")</f>
        <v>Staff: Imari Arita (Original Creator)</v>
      </c>
      <c r="B1161" s="5">
        <v>80</v>
      </c>
      <c r="C1161" s="9">
        <v>1</v>
      </c>
      <c r="D1161" s="6">
        <v>1.4054813773717499E-4</v>
      </c>
      <c r="E1161" s="7">
        <v>1.12438510189739E-2</v>
      </c>
      <c r="AF1161" t="str">
        <v>Staff: Takahiro Yoshimatsu (Character Design)</v>
      </c>
    </row>
    <row r="1162" spans="1:32" x14ac:dyDescent="0.3">
      <c r="A1162" t="str">
        <f>HYPERLINK("https://anilist.co/staff/104540","Staff: Hitomi Mieno (Series Composition)")</f>
        <v>Staff: Hitomi Mieno (Series Composition)</v>
      </c>
      <c r="B1162" s="5">
        <v>80</v>
      </c>
      <c r="C1162" s="9">
        <v>1</v>
      </c>
      <c r="D1162" s="6">
        <v>1.4054813773717499E-4</v>
      </c>
      <c r="E1162" s="7">
        <v>1.12438510189739E-2</v>
      </c>
      <c r="AF1162" t="str">
        <v>Staff: Kugane Maruyama (Original Story)</v>
      </c>
    </row>
    <row r="1163" spans="1:32" x14ac:dyDescent="0.3">
      <c r="A1163" t="str">
        <f>HYPERLINK("https://anilist.co/staff/146392","Staff: Haruka Tanaka (Character Design)")</f>
        <v>Staff: Haruka Tanaka (Character Design)</v>
      </c>
      <c r="B1163" s="5">
        <v>80</v>
      </c>
      <c r="C1163" s="9">
        <v>1</v>
      </c>
      <c r="D1163" s="6">
        <v>1.4054813773717499E-4</v>
      </c>
      <c r="E1163" s="7">
        <v>1.12438510189739E-2</v>
      </c>
      <c r="AF1163" t="str">
        <v>Staff: so-bin (Original Character Design)</v>
      </c>
    </row>
    <row r="1164" spans="1:32" x14ac:dyDescent="0.3">
      <c r="A1164" t="str">
        <f>HYPERLINK("https://anilist.co/staff/243136","Staff: Ryuunosuke Kasai (Music)")</f>
        <v>Staff: Ryuunosuke Kasai (Music)</v>
      </c>
      <c r="B1164" s="5">
        <v>80</v>
      </c>
      <c r="C1164" s="9">
        <v>1</v>
      </c>
      <c r="D1164" s="6">
        <v>1.4054813773717499E-4</v>
      </c>
      <c r="E1164" s="7">
        <v>1.12438510189739E-2</v>
      </c>
      <c r="AF1164" t="str">
        <v>Staff: MYTH &amp; ROID (Theme Song Performance (ED))</v>
      </c>
    </row>
    <row r="1165" spans="1:32" x14ac:dyDescent="0.3">
      <c r="A1165" t="str">
        <f>HYPERLINK("https://anilist.co/staff/163906","Staff: Satoshi Houno (Music)")</f>
        <v>Staff: Satoshi Houno (Music)</v>
      </c>
      <c r="B1165" s="5">
        <v>80</v>
      </c>
      <c r="C1165" s="9">
        <v>1</v>
      </c>
      <c r="D1165" s="6">
        <v>1.4054813773717499E-4</v>
      </c>
      <c r="E1165" s="7">
        <v>1.12438510189739E-2</v>
      </c>
      <c r="AF1165" t="str">
        <v>Staff: Naoyuki Itou (Director)</v>
      </c>
    </row>
    <row r="1166" spans="1:32" x14ac:dyDescent="0.3">
      <c r="A1166" t="str">
        <f>HYPERLINK("https://anilist.co/staff/108639","Staff: Maaya Uchida (Theme Song Performance (ED))")</f>
        <v>Staff: Maaya Uchida (Theme Song Performance (ED))</v>
      </c>
      <c r="B1166" s="5">
        <v>80</v>
      </c>
      <c r="C1166" s="9">
        <v>1</v>
      </c>
      <c r="D1166" s="6">
        <v>1.4054813773717499E-4</v>
      </c>
      <c r="E1166" s="7">
        <v>1.12438510189739E-2</v>
      </c>
      <c r="AF1166" t="str">
        <v>Staff: Naoyuki Itou (Storyboard (OP, eps 1, 3, 12, 13))</v>
      </c>
    </row>
    <row r="1167" spans="1:32" x14ac:dyDescent="0.3">
      <c r="A1167" t="str">
        <f>HYPERLINK("https://anilist.co/staff/105217","Staff: Kaori Ishihara (Theme Song Performance (OP))")</f>
        <v>Staff: Kaori Ishihara (Theme Song Performance (OP))</v>
      </c>
      <c r="B1167" s="5">
        <v>80</v>
      </c>
      <c r="C1167" s="9">
        <v>1</v>
      </c>
      <c r="D1167" s="6">
        <v>1.4054813773717499E-4</v>
      </c>
      <c r="E1167" s="7">
        <v>1.12438510189739E-2</v>
      </c>
      <c r="AF1167" t="str">
        <v>Staff: Naoyuki Itou (Episode Director (ep 3))</v>
      </c>
    </row>
    <row r="1168" spans="1:32" x14ac:dyDescent="0.3">
      <c r="A1168" t="str">
        <f>HYPERLINK("https://anilist.co/staff/266283","Staff: Kuu Nanbara (Director)")</f>
        <v>Staff: Kuu Nanbara (Director)</v>
      </c>
      <c r="B1168" s="5">
        <v>80</v>
      </c>
      <c r="C1168" s="9">
        <v>1</v>
      </c>
      <c r="D1168" s="6">
        <v>1.4054813773717499E-4</v>
      </c>
      <c r="E1168" s="7">
        <v>1.12438510189739E-2</v>
      </c>
      <c r="AF1168" t="str">
        <v>Staff: Naoyuki Itou (Unit Director (OP))</v>
      </c>
    </row>
    <row r="1169" spans="1:32" x14ac:dyDescent="0.3">
      <c r="A1169" t="str">
        <f>HYPERLINK("https://anilist.co/staff/118713","Staff: Tsukumizu  (Original Creator)")</f>
        <v>Staff: Tsukumizu  (Original Creator)</v>
      </c>
      <c r="B1169" s="5">
        <v>80</v>
      </c>
      <c r="C1169" s="9">
        <v>1</v>
      </c>
      <c r="D1169" s="6">
        <v>1.4054813773717499E-4</v>
      </c>
      <c r="E1169" s="7">
        <v>1.12438510189739E-2</v>
      </c>
      <c r="AF1169" t="str">
        <v>Staff: Yukie Sugawara (Script)</v>
      </c>
    </row>
    <row r="1170" spans="1:32" x14ac:dyDescent="0.3">
      <c r="A1170" t="str">
        <f>HYPERLINK("https://anilist.co/staff/122626","Staff: Takaharu Ozaki (Director)")</f>
        <v>Staff: Takaharu Ozaki (Director)</v>
      </c>
      <c r="B1170" s="5">
        <v>80</v>
      </c>
      <c r="C1170" s="9">
        <v>1</v>
      </c>
      <c r="D1170" s="6">
        <v>1.4054813773717499E-4</v>
      </c>
      <c r="E1170" s="7">
        <v>1.12438510189739E-2</v>
      </c>
      <c r="AF1170" t="str">
        <v>Staff: Yukie Sugawara (Series Composition)</v>
      </c>
    </row>
    <row r="1171" spans="1:32" x14ac:dyDescent="0.3">
      <c r="A1171" t="str">
        <f>HYPERLINK("https://anilist.co/staff/118415","Staff: Mai Toda (Character Design)")</f>
        <v>Staff: Mai Toda (Character Design)</v>
      </c>
      <c r="B1171" s="5">
        <v>80</v>
      </c>
      <c r="C1171" s="9">
        <v>1</v>
      </c>
      <c r="D1171" s="6">
        <v>1.4054813773717499E-4</v>
      </c>
      <c r="E1171" s="7">
        <v>1.12438510189739E-2</v>
      </c>
      <c r="AF1171" t="str">
        <v>Staff: Fumiyuki Gou (Sound Director)</v>
      </c>
    </row>
    <row r="1172" spans="1:32" x14ac:dyDescent="0.3">
      <c r="A1172" t="str">
        <f>HYPERLINK("https://anilist.co/staff/101596","Staff: Masahiro Gotou (Editing)")</f>
        <v>Staff: Masahiro Gotou (Editing)</v>
      </c>
      <c r="B1172" s="5">
        <v>80</v>
      </c>
      <c r="C1172" s="9">
        <v>1</v>
      </c>
      <c r="D1172" s="6">
        <v>1.4054813773717499E-4</v>
      </c>
      <c r="E1172" s="7">
        <v>1.12438510189739E-2</v>
      </c>
      <c r="AF1172" t="str">
        <v>Staff: Ryouichi Kuraya (Storyboard (eps 6, 11))</v>
      </c>
    </row>
    <row r="1173" spans="1:32" x14ac:dyDescent="0.3">
      <c r="A1173" t="str">
        <f>HYPERLINK("https://anilist.co/staff/118442","Staff: Kenichi Kawamura (Storyboard (ep 6))")</f>
        <v>Staff: Kenichi Kawamura (Storyboard (ep 6))</v>
      </c>
      <c r="B1173" s="5">
        <v>80</v>
      </c>
      <c r="C1173" s="9">
        <v>1</v>
      </c>
      <c r="D1173" s="6">
        <v>1.4054813773717499E-4</v>
      </c>
      <c r="E1173" s="7">
        <v>1.12438510189739E-2</v>
      </c>
      <c r="AF1173" t="str">
        <v>Staff: Ryouichi Kuraya (Episode Director (eps 6, 11))</v>
      </c>
    </row>
    <row r="1174" spans="1:32" x14ac:dyDescent="0.3">
      <c r="A1174" t="str">
        <f>HYPERLINK("https://anilist.co/staff/110641","Staff: Kazuyuki Fudeyasu (Script (eps 1-12))")</f>
        <v>Staff: Kazuyuki Fudeyasu (Script (eps 1-12))</v>
      </c>
      <c r="B1174" s="5">
        <v>80</v>
      </c>
      <c r="C1174" s="9">
        <v>1</v>
      </c>
      <c r="D1174" s="6">
        <v>1.4054813773717499E-4</v>
      </c>
      <c r="E1174" s="7">
        <v>1.12438510189739E-2</v>
      </c>
      <c r="AF1174" t="str">
        <v>Staff: OxT (Theme Song Performance (OP))</v>
      </c>
    </row>
    <row r="1175" spans="1:32" x14ac:dyDescent="0.3">
      <c r="A1175" t="str">
        <f>HYPERLINK("https://anilist.co/staff/129079","Staff: Tomoko Hiramuki (Episode Director (ep 10))")</f>
        <v>Staff: Tomoko Hiramuki (Episode Director (ep 10))</v>
      </c>
      <c r="B1175" s="5">
        <v>80</v>
      </c>
      <c r="C1175" s="9">
        <v>1</v>
      </c>
      <c r="D1175" s="6">
        <v>1.4054813773717499E-4</v>
      </c>
      <c r="E1175" s="7">
        <v>1.12438510189739E-2</v>
      </c>
      <c r="AF1175" t="str">
        <v>Staff: Grégory Laisné (ADR Director (French))</v>
      </c>
    </row>
    <row r="1176" spans="1:32" x14ac:dyDescent="0.3">
      <c r="A1176" t="str">
        <f>HYPERLINK("https://anilist.co/staff/101785","Staff: Masayuki Sakoi (Storyboard (ep 7))")</f>
        <v>Staff: Masayuki Sakoi (Storyboard (ep 7))</v>
      </c>
      <c r="B1176" s="5">
        <v>80</v>
      </c>
      <c r="C1176" s="9">
        <v>1</v>
      </c>
      <c r="D1176" s="6">
        <v>1.4054813773717499E-4</v>
      </c>
      <c r="E1176" s="7">
        <v>1.12438510189739E-2</v>
      </c>
      <c r="AF1176" t="str">
        <v>Staff: Juuki Izumo (Monster Design)</v>
      </c>
    </row>
    <row r="1177" spans="1:32" x14ac:dyDescent="0.3">
      <c r="A1177" t="str">
        <f>HYPERLINK("https://anilist.co/staff/122626","Staff: Takaharu Ozaki (Episode Director (OP, eps 1, 5, 12))")</f>
        <v>Staff: Takaharu Ozaki (Episode Director (OP, eps 1, 5, 12))</v>
      </c>
      <c r="B1177" s="5">
        <v>80</v>
      </c>
      <c r="C1177" s="9">
        <v>1</v>
      </c>
      <c r="D1177" s="6">
        <v>1.4054813773717499E-4</v>
      </c>
      <c r="E1177" s="7">
        <v>1.12438510189739E-2</v>
      </c>
      <c r="AF1177" t="str">
        <v>Staff: Momoko Maehara (Sub Character Design)</v>
      </c>
    </row>
    <row r="1178" spans="1:32" x14ac:dyDescent="0.3">
      <c r="A1178" t="str">
        <f>HYPERLINK("https://anilist.co/staff/122626","Staff: Takaharu Ozaki (Storyboard (OP, eps 1-3, 5, 9, 12))")</f>
        <v>Staff: Takaharu Ozaki (Storyboard (OP, eps 1-3, 5, 9, 12))</v>
      </c>
      <c r="B1178" s="5">
        <v>80</v>
      </c>
      <c r="C1178" s="9">
        <v>1</v>
      </c>
      <c r="D1178" s="6">
        <v>1.4054813773717499E-4</v>
      </c>
      <c r="E1178" s="7">
        <v>1.12438510189739E-2</v>
      </c>
      <c r="AF1178" t="str">
        <v>Staff: Yukie Noguchi (Color Design)</v>
      </c>
    </row>
    <row r="1179" spans="1:32" x14ac:dyDescent="0.3">
      <c r="A1179" t="str">
        <f>HYPERLINK("https://anilist.co/staff/110229","Staff: Kazuhisa Nakamura (Animation Director (eps 7, 12))")</f>
        <v>Staff: Kazuhisa Nakamura (Animation Director (eps 7, 12))</v>
      </c>
      <c r="B1179" s="5">
        <v>80</v>
      </c>
      <c r="C1179" s="9">
        <v>1</v>
      </c>
      <c r="D1179" s="6">
        <v>1.4054813773717499E-4</v>
      </c>
      <c r="E1179" s="7">
        <v>1.12438510189739E-2</v>
      </c>
      <c r="AF1179" t="str">
        <v>Staff: Kayoko Tomono (Art Design)</v>
      </c>
    </row>
    <row r="1180" spans="1:32" x14ac:dyDescent="0.3">
      <c r="A1180" t="str">
        <f>HYPERLINK("https://anilist.co/staff/132758","Staff: Naoki Hiramura (Animation Director (eps 9, 11))")</f>
        <v>Staff: Naoki Hiramura (Animation Director (eps 9, 11))</v>
      </c>
      <c r="B1180" s="5">
        <v>80</v>
      </c>
      <c r="C1180" s="9">
        <v>1</v>
      </c>
      <c r="D1180" s="6">
        <v>1.4054813773717499E-4</v>
      </c>
      <c r="E1180" s="7">
        <v>1.12438510189739E-2</v>
      </c>
      <c r="AF1180" t="str">
        <v>Staff: Juuki Izumo (Sub Character Design)</v>
      </c>
    </row>
    <row r="1181" spans="1:32" x14ac:dyDescent="0.3">
      <c r="A1181" t="str">
        <f>HYPERLINK("https://anilist.co/staff/121346","Staff: Ryousuke Kimiya (Animation Director (OP, eps 8, 11))")</f>
        <v>Staff: Ryousuke Kimiya (Animation Director (OP, eps 8, 11))</v>
      </c>
      <c r="B1181" s="5">
        <v>80</v>
      </c>
      <c r="C1181" s="9">
        <v>1</v>
      </c>
      <c r="D1181" s="6">
        <v>1.4054813773717499E-4</v>
      </c>
      <c r="E1181" s="7">
        <v>1.12438510189739E-2</v>
      </c>
      <c r="AF1181" t="str">
        <v>Staff: Momoko Maehara (Monster Design)</v>
      </c>
    </row>
    <row r="1182" spans="1:32" x14ac:dyDescent="0.3">
      <c r="A1182" t="str">
        <f>HYPERLINK("https://anilist.co/staff/127672","Staff: Takashi Nagayoshi (Animation Director (eps 6, 10))")</f>
        <v>Staff: Takashi Nagayoshi (Animation Director (eps 6, 10))</v>
      </c>
      <c r="B1182" s="5">
        <v>80</v>
      </c>
      <c r="C1182" s="9">
        <v>1</v>
      </c>
      <c r="D1182" s="6">
        <v>1.4054813773717499E-4</v>
      </c>
      <c r="E1182" s="7">
        <v>1.12438510189739E-2</v>
      </c>
      <c r="AF1182" t="str">
        <v>Staff: Momoko Maehara (Prop Design)</v>
      </c>
    </row>
    <row r="1183" spans="1:32" x14ac:dyDescent="0.3">
      <c r="A1183" t="str">
        <f>HYPERLINK("https://anilist.co/staff/118415","Staff: Mai Toda (Animation Director (ep 1))")</f>
        <v>Staff: Mai Toda (Animation Director (ep 1))</v>
      </c>
      <c r="B1183" s="5">
        <v>80</v>
      </c>
      <c r="C1183" s="9">
        <v>1</v>
      </c>
      <c r="D1183" s="6">
        <v>1.4054813773717499E-4</v>
      </c>
      <c r="E1183" s="7">
        <v>1.12438510189739E-2</v>
      </c>
      <c r="AF1183" t="str">
        <v>Staff: Juuki Izumo (Prop Design)</v>
      </c>
    </row>
    <row r="1184" spans="1:32" x14ac:dyDescent="0.3">
      <c r="A1184" t="str">
        <f>HYPERLINK("https://anilist.co/staff/118415","Staff: Mai Toda (Chief Animation Director (OP, eps 1-12))")</f>
        <v>Staff: Mai Toda (Chief Animation Director (OP, eps 1-12))</v>
      </c>
      <c r="B1184" s="5">
        <v>80</v>
      </c>
      <c r="C1184" s="9">
        <v>1</v>
      </c>
      <c r="D1184" s="6">
        <v>1.4054813773717499E-4</v>
      </c>
      <c r="E1184" s="7">
        <v>1.12438510189739E-2</v>
      </c>
      <c r="AF1184" t="str">
        <v>Staff: Naokatsu Tsuda (Director)</v>
      </c>
    </row>
    <row r="1185" spans="1:32" x14ac:dyDescent="0.3">
      <c r="A1185" t="str">
        <f>HYPERLINK("https://anilist.co/staff/100799","Staff: Zenya Yamamoto (Animation Director (eps 4, 11))")</f>
        <v>Staff: Zenya Yamamoto (Animation Director (eps 4, 11))</v>
      </c>
      <c r="B1185" s="5">
        <v>80</v>
      </c>
      <c r="C1185" s="9">
        <v>1</v>
      </c>
      <c r="D1185" s="6">
        <v>1.4054813773717499E-4</v>
      </c>
      <c r="E1185" s="7">
        <v>1.12438510189739E-2</v>
      </c>
      <c r="AF1185" t="str">
        <v>Staff: Naokatsu Tsuda (Script)</v>
      </c>
    </row>
    <row r="1186" spans="1:32" x14ac:dyDescent="0.3">
      <c r="A1186" t="str">
        <f>HYPERLINK("https://anilist.co/staff/134877","Staff: Miyuki Nakayama (Animation Director (eps 5, 12))")</f>
        <v>Staff: Miyuki Nakayama (Animation Director (eps 5, 12))</v>
      </c>
      <c r="B1186" s="5">
        <v>80</v>
      </c>
      <c r="C1186" s="9">
        <v>1</v>
      </c>
      <c r="D1186" s="6">
        <v>1.4054813773717499E-4</v>
      </c>
      <c r="E1186" s="7">
        <v>1.12438510189739E-2</v>
      </c>
      <c r="AF1186" t="str">
        <v>Staff: Shougo Yasukawa (Script)</v>
      </c>
    </row>
    <row r="1187" spans="1:32" x14ac:dyDescent="0.3">
      <c r="A1187" t="str">
        <f>HYPERLINK("https://anilist.co/staff/134878","Staff: Shuusuke Aizawa (Animation Director (eps 3, 9))")</f>
        <v>Staff: Shuusuke Aizawa (Animation Director (eps 3, 9))</v>
      </c>
      <c r="B1187" s="5">
        <v>80</v>
      </c>
      <c r="C1187" s="9">
        <v>1</v>
      </c>
      <c r="D1187" s="6">
        <v>1.4054813773717499E-4</v>
      </c>
      <c r="E1187" s="7">
        <v>1.12438510189739E-2</v>
      </c>
      <c r="AF1187" t="str">
        <v>Staff: Katsuichi Nakayama (Series Director)</v>
      </c>
    </row>
    <row r="1188" spans="1:32" x14ac:dyDescent="0.3">
      <c r="A1188" t="str">
        <f>HYPERLINK("https://anilist.co/staff/134879","Staff: Hiroyuki Tsuchiya (Episode Director (eps 2, 6, 9))")</f>
        <v>Staff: Hiroyuki Tsuchiya (Episode Director (eps 2, 6, 9))</v>
      </c>
      <c r="B1188" s="5">
        <v>80</v>
      </c>
      <c r="C1188" s="9">
        <v>1</v>
      </c>
      <c r="D1188" s="6">
        <v>1.4054813773717499E-4</v>
      </c>
      <c r="E1188" s="7">
        <v>1.12438510189739E-2</v>
      </c>
      <c r="AF1188" t="str">
        <v>Staff: Shunsuke Machitani (Series Director)</v>
      </c>
    </row>
    <row r="1189" spans="1:32" x14ac:dyDescent="0.3">
      <c r="A1189" t="str">
        <f>HYPERLINK("https://anilist.co/staff/134880","Staff: Naoko Takeichi (Episode Director (ep 3))")</f>
        <v>Staff: Naoko Takeichi (Episode Director (ep 3))</v>
      </c>
      <c r="B1189" s="5">
        <v>80</v>
      </c>
      <c r="C1189" s="9">
        <v>1</v>
      </c>
      <c r="D1189" s="6">
        <v>1.4054813773717499E-4</v>
      </c>
      <c r="E1189" s="7">
        <v>1.12438510189739E-2</v>
      </c>
      <c r="AF1189" t="str">
        <v>Staff: Hitomi Takechi (Character Design)</v>
      </c>
    </row>
    <row r="1190" spans="1:32" x14ac:dyDescent="0.3">
      <c r="A1190" t="str">
        <f>HYPERLINK("https://anilist.co/staff/119540","Staff: Yako Gureishi (Original Creator)")</f>
        <v>Staff: Yako Gureishi (Original Creator)</v>
      </c>
      <c r="B1190" s="5">
        <v>80</v>
      </c>
      <c r="C1190" s="9">
        <v>1</v>
      </c>
      <c r="D1190" s="6">
        <v>1.4054813773717499E-4</v>
      </c>
      <c r="E1190" s="7">
        <v>1.12438510189739E-2</v>
      </c>
      <c r="AF1190" t="str">
        <v>Staff: Hiroshi Izumi (Art Design)</v>
      </c>
    </row>
    <row r="1191" spans="1:32" x14ac:dyDescent="0.3">
      <c r="A1191" t="str">
        <f>HYPERLINK("https://anilist.co/staff/105146","Staff: Kenji Yasuda (Director)")</f>
        <v>Staff: Kenji Yasuda (Director)</v>
      </c>
      <c r="B1191" s="5">
        <v>80</v>
      </c>
      <c r="C1191" s="9">
        <v>1</v>
      </c>
      <c r="D1191" s="6">
        <v>1.4054813773717499E-4</v>
      </c>
      <c r="E1191" s="7">
        <v>1.12438510189739E-2</v>
      </c>
      <c r="AF1191" t="str">
        <v>Staff: Yuuko Sugiyama (Art Director)</v>
      </c>
    </row>
    <row r="1192" spans="1:32" x14ac:dyDescent="0.3">
      <c r="A1192" t="str">
        <f>HYPERLINK("https://anilist.co/staff/135528","Staff: Vincent Nghiem (Art Director)")</f>
        <v>Staff: Vincent Nghiem (Art Director)</v>
      </c>
      <c r="B1192" s="5">
        <v>80</v>
      </c>
      <c r="C1192" s="9">
        <v>1</v>
      </c>
      <c r="D1192" s="6">
        <v>1.4054813773717499E-4</v>
      </c>
      <c r="E1192" s="7">
        <v>1.12438510189739E-2</v>
      </c>
      <c r="AF1192" t="str">
        <v>Staff: Kanetake Ebikawa (Mechanical Design)</v>
      </c>
    </row>
    <row r="1193" spans="1:32" x14ac:dyDescent="0.3">
      <c r="A1193" t="str">
        <f>HYPERLINK("https://anilist.co/staff/99003","Staff: Ikuko Itou (Character Design)")</f>
        <v>Staff: Ikuko Itou (Character Design)</v>
      </c>
      <c r="B1193" s="5">
        <v>80</v>
      </c>
      <c r="C1193" s="9">
        <v>1</v>
      </c>
      <c r="D1193" s="6">
        <v>1.4054813773717499E-4</v>
      </c>
      <c r="E1193" s="7">
        <v>1.12438510189739E-2</v>
      </c>
      <c r="AF1193" t="str">
        <v>Staff: Shinya Uchida (Prop Design)</v>
      </c>
    </row>
    <row r="1194" spans="1:32" x14ac:dyDescent="0.3">
      <c r="A1194" t="str">
        <f>HYPERLINK("https://anilist.co/staff/144096","Staff: Chiho Nakamura (Color Design)")</f>
        <v>Staff: Chiho Nakamura (Color Design)</v>
      </c>
      <c r="B1194" s="5">
        <v>80</v>
      </c>
      <c r="C1194" s="9">
        <v>1</v>
      </c>
      <c r="D1194" s="6">
        <v>1.4054813773717499E-4</v>
      </c>
      <c r="E1194" s="7">
        <v>1.12438510189739E-2</v>
      </c>
      <c r="AF1194" t="str">
        <v>Staff: Yuusuke Takeda (Art Director)</v>
      </c>
    </row>
    <row r="1195" spans="1:32" x14ac:dyDescent="0.3">
      <c r="A1195" t="str">
        <f>HYPERLINK("https://anilist.co/staff/144095","Staff: Mariko Mochizuki (Series Composition)")</f>
        <v>Staff: Mariko Mochizuki (Series Composition)</v>
      </c>
      <c r="B1195" s="5">
        <v>80</v>
      </c>
      <c r="C1195" s="9">
        <v>1</v>
      </c>
      <c r="D1195" s="6">
        <v>1.4054813773717499E-4</v>
      </c>
      <c r="E1195" s="7">
        <v>1.12438510189739E-2</v>
      </c>
      <c r="AF1195" t="str">
        <v>Staff: Yuuko Satou (Color Design)</v>
      </c>
    </row>
    <row r="1196" spans="1:32" x14ac:dyDescent="0.3">
      <c r="A1196" t="str">
        <f>HYPERLINK("https://anilist.co/staff/144094","Staff: Yasuno Satou (Music Director)")</f>
        <v>Staff: Yasuno Satou (Music Director)</v>
      </c>
      <c r="B1196" s="5">
        <v>80</v>
      </c>
      <c r="C1196" s="9">
        <v>1</v>
      </c>
      <c r="D1196" s="6">
        <v>1.4054813773717499E-4</v>
      </c>
      <c r="E1196" s="7">
        <v>1.12438510189739E-2</v>
      </c>
      <c r="AF1196" t="str">
        <v>Staff: Yoshiyuki Fujiwara (Director)</v>
      </c>
    </row>
    <row r="1197" spans="1:32" x14ac:dyDescent="0.3">
      <c r="A1197" t="str">
        <f>HYPERLINK("https://anilist.co/staff/144097","Staff: Takatoshi Hamano (Sound Director)")</f>
        <v>Staff: Takatoshi Hamano (Sound Director)</v>
      </c>
      <c r="B1197" s="5">
        <v>80</v>
      </c>
      <c r="C1197" s="9">
        <v>1</v>
      </c>
      <c r="D1197" s="6">
        <v>1.4054813773717499E-4</v>
      </c>
      <c r="E1197" s="7">
        <v>1.12438510189739E-2</v>
      </c>
      <c r="AF1197" t="str">
        <v>Staff: Chiaki Nakajima (Character Design)</v>
      </c>
    </row>
    <row r="1198" spans="1:32" x14ac:dyDescent="0.3">
      <c r="A1198" t="str">
        <f>HYPERLINK("https://anilist.co/staff/106297","Staff: Inori Minase (Theme Song Performance (ED))")</f>
        <v>Staff: Inori Minase (Theme Song Performance (ED))</v>
      </c>
      <c r="B1198" s="5">
        <v>80</v>
      </c>
      <c r="C1198" s="9">
        <v>1</v>
      </c>
      <c r="D1198" s="6">
        <v>1.4054813773717499E-4</v>
      </c>
      <c r="E1198" s="7">
        <v>1.12438510189739E-2</v>
      </c>
      <c r="AF1198" t="str">
        <v>Staff: okiura  (Original Character Design)</v>
      </c>
    </row>
    <row r="1199" spans="1:32" x14ac:dyDescent="0.3">
      <c r="A1199" t="str">
        <f>HYPERLINK("https://anilist.co/staff/124581","Staff: Ryo Yoshimata (Music)")</f>
        <v>Staff: Ryo Yoshimata (Music)</v>
      </c>
      <c r="B1199" s="5">
        <v>80</v>
      </c>
      <c r="C1199" s="9">
        <v>1</v>
      </c>
      <c r="D1199" s="6">
        <v>1.4054813773717499E-4</v>
      </c>
      <c r="E1199" s="7">
        <v>1.12438510189739E-2</v>
      </c>
      <c r="AF1199" t="str">
        <v>Staff: Naotaka Hayashi (Original Story)</v>
      </c>
    </row>
    <row r="1200" spans="1:32" x14ac:dyDescent="0.3">
      <c r="A1200" t="str">
        <f>HYPERLINK("https://anilist.co/staff/151343","Staff: Naotarou Moriyama (Theme Song Performance (OP))")</f>
        <v>Staff: Naotarou Moriyama (Theme Song Performance (OP))</v>
      </c>
      <c r="B1200" s="5">
        <v>80</v>
      </c>
      <c r="C1200" s="9">
        <v>1</v>
      </c>
      <c r="D1200" s="6">
        <v>1.4054813773717499E-4</v>
      </c>
      <c r="E1200" s="7">
        <v>1.12438510189739E-2</v>
      </c>
      <c r="AF1200" t="str">
        <v>Staff: Naotaka Hayashi (Script)</v>
      </c>
    </row>
    <row r="1201" spans="1:32" x14ac:dyDescent="0.3">
      <c r="A1201" t="str">
        <f>HYPERLINK("https://anilist.co/staff/151343","Staff: Naotarou Moriyama (Theme Song Composition (OP))")</f>
        <v>Staff: Naotarou Moriyama (Theme Song Composition (OP))</v>
      </c>
      <c r="B1201" s="5">
        <v>80</v>
      </c>
      <c r="C1201" s="9">
        <v>1</v>
      </c>
      <c r="D1201" s="6">
        <v>1.4054813773717499E-4</v>
      </c>
      <c r="E1201" s="7">
        <v>1.12438510189739E-2</v>
      </c>
      <c r="AF1201" t="str">
        <v>Staff: Shinya Iino (Episode Director (ep 4))</v>
      </c>
    </row>
    <row r="1202" spans="1:32" x14ac:dyDescent="0.3">
      <c r="A1202" t="str">
        <f>HYPERLINK("https://anilist.co/staff/156565","Staff: Kei Kawano (Theme Song Arrangement (OP))")</f>
        <v>Staff: Kei Kawano (Theme Song Arrangement (OP))</v>
      </c>
      <c r="B1202" s="5">
        <v>80</v>
      </c>
      <c r="C1202" s="9">
        <v>1</v>
      </c>
      <c r="D1202" s="6">
        <v>1.4054813773717499E-4</v>
      </c>
      <c r="E1202" s="7">
        <v>1.12438510189739E-2</v>
      </c>
      <c r="AF1202" t="str">
        <v>Staff: Eri Sasaki (Theme Song Performance (OP))</v>
      </c>
    </row>
    <row r="1203" spans="1:32" x14ac:dyDescent="0.3">
      <c r="A1203" t="str">
        <f>HYPERLINK("https://anilist.co/staff/106297","Staff: Inori Minase (Theme Song Lyrics (ED))")</f>
        <v>Staff: Inori Minase (Theme Song Lyrics (ED))</v>
      </c>
      <c r="B1203" s="5">
        <v>80</v>
      </c>
      <c r="C1203" s="9">
        <v>1</v>
      </c>
      <c r="D1203" s="6">
        <v>1.4054813773717499E-4</v>
      </c>
      <c r="E1203" s="7">
        <v>1.12438510189739E-2</v>
      </c>
      <c r="AF1203" t="str">
        <v>Staff: Asami Imai (Theme Song Performance (ED2))</v>
      </c>
    </row>
    <row r="1204" spans="1:32" x14ac:dyDescent="0.3">
      <c r="A1204" t="str">
        <f>HYPERLINK("https://anilist.co/staff/150072","Staff: Yuusuke Shirato (Theme Song Arrangement (ED))")</f>
        <v>Staff: Yuusuke Shirato (Theme Song Arrangement (ED))</v>
      </c>
      <c r="B1204" s="5">
        <v>80</v>
      </c>
      <c r="C1204" s="9">
        <v>1</v>
      </c>
      <c r="D1204" s="6">
        <v>1.4054813773717499E-4</v>
      </c>
      <c r="E1204" s="7">
        <v>1.12438510189739E-2</v>
      </c>
      <c r="AF1204" t="str">
        <v>Staff: Chiaki Nakajima (Chief Animation Director)</v>
      </c>
    </row>
    <row r="1205" spans="1:32" x14ac:dyDescent="0.3">
      <c r="A1205" t="str">
        <f>HYPERLINK("https://anilist.co/staff/164102","Staff: Hikaru Sakurazawa (Theme Song Composition (ED))")</f>
        <v>Staff: Hikaru Sakurazawa (Theme Song Composition (ED))</v>
      </c>
      <c r="B1205" s="5">
        <v>80</v>
      </c>
      <c r="C1205" s="9">
        <v>1</v>
      </c>
      <c r="D1205" s="6">
        <v>1.4054813773717499E-4</v>
      </c>
      <c r="E1205" s="7">
        <v>1.12438510189739E-2</v>
      </c>
      <c r="AF1205" t="str">
        <v>Staff: Ai Kikuchi (Prop Design)</v>
      </c>
    </row>
    <row r="1206" spans="1:32" x14ac:dyDescent="0.3">
      <c r="A1206" t="str">
        <f>HYPERLINK("https://anilist.co/staff/164103","Staff: Kei  Sugawara (Theme Song Lyrics (OP))")</f>
        <v>Staff: Kei  Sugawara (Theme Song Lyrics (OP))</v>
      </c>
      <c r="B1206" s="5">
        <v>80</v>
      </c>
      <c r="C1206" s="9">
        <v>1</v>
      </c>
      <c r="D1206" s="6">
        <v>1.4054813773717499E-4</v>
      </c>
      <c r="E1206" s="7">
        <v>1.12438510189739E-2</v>
      </c>
      <c r="AF1206" t="str">
        <v>Staff: Ai Kikuchi (Chief Animation Director)</v>
      </c>
    </row>
    <row r="1207" spans="1:32" x14ac:dyDescent="0.3">
      <c r="A1207" t="str">
        <f>HYPERLINK("https://anilist.co/staff/141317","Staff: Sachiko Oohashi (Sub Character Design)")</f>
        <v>Staff: Sachiko Oohashi (Sub Character Design)</v>
      </c>
      <c r="B1207" s="5">
        <v>80</v>
      </c>
      <c r="C1207" s="9">
        <v>1</v>
      </c>
      <c r="D1207" s="6">
        <v>1.4054813773717499E-4</v>
      </c>
      <c r="E1207" s="7">
        <v>1.12438510189739E-2</v>
      </c>
      <c r="AF1207" t="str">
        <v>Staff: Hiroshi Tani (Mechanical Design)</v>
      </c>
    </row>
    <row r="1208" spans="1:32" x14ac:dyDescent="0.3">
      <c r="A1208" t="str">
        <f>HYPERLINK("https://anilist.co/staff/141317","Staff: Sachiko Oohashi (Chief Animation Director (eps 7, 8))")</f>
        <v>Staff: Sachiko Oohashi (Chief Animation Director (eps 7, 8))</v>
      </c>
      <c r="B1208" s="5">
        <v>80</v>
      </c>
      <c r="C1208" s="9">
        <v>1</v>
      </c>
      <c r="D1208" s="6">
        <v>1.4054813773717499E-4</v>
      </c>
      <c r="E1208" s="7">
        <v>1.12438510189739E-2</v>
      </c>
      <c r="AF1208" t="str">
        <v>Staff: Yasumasa Koyama (Sound Effects)</v>
      </c>
    </row>
    <row r="1209" spans="1:32" x14ac:dyDescent="0.3">
      <c r="A1209" t="str">
        <f>HYPERLINK("https://anilist.co/staff/141317","Staff: Sachiko Oohashi (Key Animation (OPa, OPb; ep 12))")</f>
        <v>Staff: Sachiko Oohashi (Key Animation (OPa, OPb; ep 12))</v>
      </c>
      <c r="B1209" s="5">
        <v>80</v>
      </c>
      <c r="C1209" s="9">
        <v>1</v>
      </c>
      <c r="D1209" s="6">
        <v>1.4054813773717499E-4</v>
      </c>
      <c r="E1209" s="7">
        <v>1.12438510189739E-2</v>
      </c>
      <c r="AF1209" t="str">
        <v>Staff: Masaaki Kawaguchi (Art Director)</v>
      </c>
    </row>
    <row r="1210" spans="1:32" x14ac:dyDescent="0.3">
      <c r="A1210" t="str">
        <f>HYPERLINK("https://anilist.co/staff/175792","Staff: Akira Yamaoka (Music Producer)")</f>
        <v>Staff: Akira Yamaoka (Music Producer)</v>
      </c>
      <c r="B1210" s="5">
        <v>80</v>
      </c>
      <c r="C1210" s="9">
        <v>1</v>
      </c>
      <c r="D1210" s="6">
        <v>1.4054813773717499E-4</v>
      </c>
      <c r="E1210" s="7">
        <v>1.12438510189739E-2</v>
      </c>
      <c r="AF1210" t="str">
        <v>Staff: Yoshihiro Watanabe (CG Director)</v>
      </c>
    </row>
    <row r="1211" spans="1:32" x14ac:dyDescent="0.3">
      <c r="A1211" t="str">
        <f>HYPERLINK("https://anilist.co/staff/232448","Staff: Loic Locatelli (Art Design)")</f>
        <v>Staff: Loic Locatelli (Art Design)</v>
      </c>
      <c r="B1211" s="5">
        <v>80</v>
      </c>
      <c r="C1211" s="9">
        <v>1</v>
      </c>
      <c r="D1211" s="6">
        <v>1.4054813773717499E-4</v>
      </c>
      <c r="E1211" s="7">
        <v>1.12438510189739E-2</v>
      </c>
      <c r="AF1211" t="str">
        <v>Staff: Yuusuke Yamamoto (In-Between Animation)</v>
      </c>
    </row>
    <row r="1212" spans="1:32" x14ac:dyDescent="0.3">
      <c r="A1212" t="str">
        <f>HYPERLINK("https://anilist.co/staff/232449","Staff: Masako Iwamoto (Producer)")</f>
        <v>Staff: Masako Iwamoto (Producer)</v>
      </c>
      <c r="B1212" s="5">
        <v>80</v>
      </c>
      <c r="C1212" s="9">
        <v>1</v>
      </c>
      <c r="D1212" s="6">
        <v>1.4054813773717499E-4</v>
      </c>
      <c r="E1212" s="7">
        <v>1.12438510189739E-2</v>
      </c>
      <c r="AF1212" t="str">
        <v>Staff: Yuusuke Yamamoto (2nd Key Animation (eps 3, 8))</v>
      </c>
    </row>
    <row r="1213" spans="1:32" x14ac:dyDescent="0.3">
      <c r="A1213" t="str">
        <f>HYPERLINK("https://anilist.co/staff/232450","Staff: Osami Muramoto (Animation Producer)")</f>
        <v>Staff: Osami Muramoto (Animation Producer)</v>
      </c>
      <c r="B1213" s="5">
        <v>80</v>
      </c>
      <c r="C1213" s="9">
        <v>1</v>
      </c>
      <c r="D1213" s="6">
        <v>1.4054813773717499E-4</v>
      </c>
      <c r="E1213" s="7">
        <v>1.12438510189739E-2</v>
      </c>
      <c r="AF1213" t="str">
        <v>Staff: Eri Akazawa (Key Animation (ep 4))</v>
      </c>
    </row>
    <row r="1214" spans="1:32" x14ac:dyDescent="0.3">
      <c r="A1214" t="str">
        <f>HYPERLINK("https://anilist.co/staff/98543","Staff: Tatsuya Endou (Original Creator)")</f>
        <v>Staff: Tatsuya Endou (Original Creator)</v>
      </c>
      <c r="B1214" s="5">
        <v>80</v>
      </c>
      <c r="C1214" s="9">
        <v>1</v>
      </c>
      <c r="D1214" s="6">
        <v>1.4054813773717499E-4</v>
      </c>
      <c r="E1214" s="7">
        <v>1.12438510189739E-2</v>
      </c>
      <c r="AF1214" t="str">
        <v>Staff: Tsubomi Ishihara (Key Animation (OP, eps 5, 7-9, 11, 13))</v>
      </c>
    </row>
    <row r="1215" spans="1:32" x14ac:dyDescent="0.3">
      <c r="A1215" t="str">
        <f>HYPERLINK("https://anilist.co/staff/100655","Staff: Kazuhiro Furuhashi (Director)")</f>
        <v>Staff: Kazuhiro Furuhashi (Director)</v>
      </c>
      <c r="B1215" s="5">
        <v>80</v>
      </c>
      <c r="C1215" s="9">
        <v>1</v>
      </c>
      <c r="D1215" s="6">
        <v>1.4054813773717499E-4</v>
      </c>
      <c r="E1215" s="7">
        <v>1.12438510189739E-2</v>
      </c>
      <c r="AF1215" t="str">
        <v>Staff: Tappei  Nagatsuki (Original Story)</v>
      </c>
    </row>
    <row r="1216" spans="1:32" x14ac:dyDescent="0.3">
      <c r="A1216" t="str">
        <f>HYPERLINK("https://anilist.co/staff/126735","Staff: Kazuaki Shimada (Character Design)")</f>
        <v>Staff: Kazuaki Shimada (Character Design)</v>
      </c>
      <c r="B1216" s="5">
        <v>80</v>
      </c>
      <c r="C1216" s="9">
        <v>1</v>
      </c>
      <c r="D1216" s="6">
        <v>1.4054813773717499E-4</v>
      </c>
      <c r="E1216" s="7">
        <v>1.12438510189739E-2</v>
      </c>
      <c r="AF1216" t="str">
        <v>Staff: Shinichirou Ootsuka (Original Character Design)</v>
      </c>
    </row>
    <row r="1217" spans="1:32" x14ac:dyDescent="0.3">
      <c r="A1217" t="str">
        <f>HYPERLINK("https://anilist.co/staff/126602","Staff: (K)NoW_NAME (Music Production)")</f>
        <v>Staff: (K)NoW_NAME (Music Production)</v>
      </c>
      <c r="B1217" s="5">
        <v>80</v>
      </c>
      <c r="C1217" s="9">
        <v>1</v>
      </c>
      <c r="D1217" s="6">
        <v>1.4054813773717499E-4</v>
      </c>
      <c r="E1217" s="7">
        <v>1.12438510189739E-2</v>
      </c>
      <c r="AF1217" t="str">
        <v>Staff: Yoshiko Nakamura (Script (eps 6, 7, 9))</v>
      </c>
    </row>
    <row r="1218" spans="1:32" x14ac:dyDescent="0.3">
      <c r="A1218" t="str">
        <f>HYPERLINK("https://anilist.co/staff/113599","Staff: Kyouji Asano (Chief Animation Director (eps 3, 5, 7, 9, 10))")</f>
        <v>Staff: Kyouji Asano (Chief Animation Director (eps 3, 5, 7, 9, 10))</v>
      </c>
      <c r="B1218" s="5">
        <v>80</v>
      </c>
      <c r="C1218" s="9">
        <v>1</v>
      </c>
      <c r="D1218" s="6">
        <v>1.4054813773717499E-4</v>
      </c>
      <c r="E1218" s="7">
        <v>1.12438510189739E-2</v>
      </c>
      <c r="AF1218" t="str">
        <v>Staff: Masahiro Yokotani (Script (eps 1-5, 8, 10, 11))</v>
      </c>
    </row>
    <row r="1219" spans="1:32" x14ac:dyDescent="0.3">
      <c r="A1219" t="str">
        <f>HYPERLINK("https://anilist.co/staff/126735","Staff: Kazuaki Shimada (Chief Animation Director (eps 1, 2, 4, 8, 12))")</f>
        <v>Staff: Kazuaki Shimada (Chief Animation Director (eps 1, 2, 4, 8, 12))</v>
      </c>
      <c r="B1219" s="5">
        <v>80</v>
      </c>
      <c r="C1219" s="9">
        <v>1</v>
      </c>
      <c r="D1219" s="6">
        <v>1.4054813773717499E-4</v>
      </c>
      <c r="E1219" s="7">
        <v>1.12438510189739E-2</v>
      </c>
      <c r="AF1219" t="str">
        <v>Staff: Yoshito Takamine (Art Director)</v>
      </c>
    </row>
    <row r="1220" spans="1:32" x14ac:dyDescent="0.3">
      <c r="A1220" t="str">
        <f>HYPERLINK("https://anilist.co/staff/147829","Staff: Satomi Sugimoto (Art Design)")</f>
        <v>Staff: Satomi Sugimoto (Art Design)</v>
      </c>
      <c r="B1220" s="5">
        <v>80</v>
      </c>
      <c r="C1220" s="9">
        <v>1</v>
      </c>
      <c r="D1220" s="6">
        <v>1.4054813773717499E-4</v>
      </c>
      <c r="E1220" s="7">
        <v>1.12438510189739E-2</v>
      </c>
      <c r="AF1220" t="str">
        <v>Staff: Konomi Suzuki (Theme Song Performance (OP1))</v>
      </c>
    </row>
    <row r="1221" spans="1:32" x14ac:dyDescent="0.3">
      <c r="A1221" t="str">
        <f>HYPERLINK("https://anilist.co/staff/128826","Staff: Yuuho Taniuchi (Art Design)")</f>
        <v>Staff: Yuuho Taniuchi (Art Design)</v>
      </c>
      <c r="B1221" s="5">
        <v>80</v>
      </c>
      <c r="C1221" s="9">
        <v>1</v>
      </c>
      <c r="D1221" s="6">
        <v>1.4054813773717499E-4</v>
      </c>
      <c r="E1221" s="7">
        <v>1.12438510189739E-2</v>
      </c>
      <c r="AF1221" t="str">
        <v>Staff: MYTH &amp; ROID (Theme Song Performance (ED1, ED2, ED4, OP2))</v>
      </c>
    </row>
    <row r="1222" spans="1:32" x14ac:dyDescent="0.3">
      <c r="A1222" t="str">
        <f>HYPERLINK("https://anilist.co/staff/142697","Staff: Kazushige Kanehira (Art Design)")</f>
        <v>Staff: Kazushige Kanehira (Art Design)</v>
      </c>
      <c r="B1222" s="5">
        <v>80</v>
      </c>
      <c r="C1222" s="9">
        <v>1</v>
      </c>
      <c r="D1222" s="6">
        <v>1.4054813773717499E-4</v>
      </c>
      <c r="E1222" s="7">
        <v>1.12438510189739E-2</v>
      </c>
      <c r="AF1222" t="str">
        <v>Staff: Rie Takahashi (Theme Song Performance (ED3))</v>
      </c>
    </row>
    <row r="1223" spans="1:32" x14ac:dyDescent="0.3">
      <c r="A1223" t="str">
        <f>HYPERLINK("https://anilist.co/staff/135988","Staff: Satoshi Hashimoto (Color Design)")</f>
        <v>Staff: Satoshi Hashimoto (Color Design)</v>
      </c>
      <c r="B1223" s="5">
        <v>80</v>
      </c>
      <c r="C1223" s="9">
        <v>1</v>
      </c>
      <c r="D1223" s="6">
        <v>1.4054813773717499E-4</v>
      </c>
      <c r="E1223" s="7">
        <v>1.12438510189739E-2</v>
      </c>
      <c r="AF1223" t="str">
        <v>Staff: Daisuke Mataga (Animation Director (ep 15, 20))</v>
      </c>
    </row>
    <row r="1224" spans="1:32" x14ac:dyDescent="0.3">
      <c r="A1224" t="str">
        <f>HYPERLINK("https://anilist.co/staff/103507","Staff: Kazuo Nagai (Art Director)")</f>
        <v>Staff: Kazuo Nagai (Art Director)</v>
      </c>
      <c r="B1224" s="5">
        <v>80</v>
      </c>
      <c r="C1224" s="9">
        <v>1</v>
      </c>
      <c r="D1224" s="6">
        <v>1.4054813773717499E-4</v>
      </c>
      <c r="E1224" s="7">
        <v>1.12438510189739E-2</v>
      </c>
      <c r="AF1224" t="str">
        <v>Staff: Daisuke Mataga (2nd Key Animation (ep 3, 13, 21, 22))</v>
      </c>
    </row>
    <row r="1225" spans="1:32" x14ac:dyDescent="0.3">
      <c r="A1225" t="str">
        <f>HYPERLINK("https://anilist.co/staff/146526","Staff: Akari Saitou (Editing)")</f>
        <v>Staff: Akari Saitou (Editing)</v>
      </c>
      <c r="B1225" s="5">
        <v>80</v>
      </c>
      <c r="C1225" s="9">
        <v>1</v>
      </c>
      <c r="D1225" s="6">
        <v>1.4054813773717499E-4</v>
      </c>
      <c r="E1225" s="7">
        <v>1.12438510189739E-2</v>
      </c>
      <c r="AF1225" t="str">
        <v>Staff: Daisuke Mataga (Key Animation (ep 9, 15, 20, 25))</v>
      </c>
    </row>
    <row r="1226" spans="1:32" x14ac:dyDescent="0.3">
      <c r="A1226" t="str">
        <f>HYPERLINK("https://anilist.co/staff/135989","Staff: Akane Fushihara (Director of Photography)")</f>
        <v>Staff: Akane Fushihara (Director of Photography)</v>
      </c>
      <c r="B1226" s="5">
        <v>80</v>
      </c>
      <c r="C1226" s="9">
        <v>1</v>
      </c>
      <c r="D1226" s="6">
        <v>1.4054813773717499E-4</v>
      </c>
      <c r="E1226" s="7">
        <v>1.12438510189739E-2</v>
      </c>
      <c r="AF1226" t="str">
        <v>Staff: Manabu Okamoto (Storyboard (ED3, eps 5, 8))</v>
      </c>
    </row>
    <row r="1227" spans="1:32" x14ac:dyDescent="0.3">
      <c r="A1227" t="str">
        <f>HYPERLINK("https://anilist.co/staff/147828","Staff: Kana Imagaki (CG Director)")</f>
        <v>Staff: Kana Imagaki (CG Director)</v>
      </c>
      <c r="B1227" s="5">
        <v>80</v>
      </c>
      <c r="C1227" s="9">
        <v>1</v>
      </c>
      <c r="D1227" s="6">
        <v>1.4054813773717499E-4</v>
      </c>
      <c r="E1227" s="7">
        <v>1.12438510189739E-2</v>
      </c>
      <c r="AF1227" t="str">
        <v>Staff: Manabu Okamoto (Episode Director (ED3, ep 8))</v>
      </c>
    </row>
    <row r="1228" spans="1:32" x14ac:dyDescent="0.3">
      <c r="A1228" t="str">
        <f>HYPERLINK("https://anilist.co/staff/138510","Staff: Takashi Katagiri (Assistant Director)")</f>
        <v>Staff: Takashi Katagiri (Assistant Director)</v>
      </c>
      <c r="B1228" s="5">
        <v>80</v>
      </c>
      <c r="C1228" s="9">
        <v>1</v>
      </c>
      <c r="D1228" s="6">
        <v>1.4054813773717499E-4</v>
      </c>
      <c r="E1228" s="7">
        <v>1.12438510189739E-2</v>
      </c>
      <c r="AF1228" t="str">
        <v>Staff: Manabu Okamoto (Key Animation (ep 8))</v>
      </c>
    </row>
    <row r="1229" spans="1:32" x14ac:dyDescent="0.3">
      <c r="A1229" t="str">
        <f>HYPERLINK("https://anilist.co/staff/136214","Staff: Takahiro Harada  (Assistant Director)")</f>
        <v>Staff: Takahiro Harada  (Assistant Director)</v>
      </c>
      <c r="B1229" s="5">
        <v>80</v>
      </c>
      <c r="C1229" s="9">
        <v>1</v>
      </c>
      <c r="D1229" s="6">
        <v>1.4054813773717499E-4</v>
      </c>
      <c r="E1229" s="7">
        <v>1.12438510189739E-2</v>
      </c>
      <c r="AF1229" t="str">
        <v>Staff: Nobuyoshi Nagayama (Storyboard (eps 13, 18, 22))</v>
      </c>
    </row>
    <row r="1230" spans="1:32" x14ac:dyDescent="0.3">
      <c r="A1230" t="str">
        <f>HYPERLINK("https://anilist.co/staff/134799","Staff: Norihito Takahashi (Assistant Director)")</f>
        <v>Staff: Norihito Takahashi (Assistant Director)</v>
      </c>
      <c r="B1230" s="5">
        <v>80</v>
      </c>
      <c r="C1230" s="9">
        <v>1</v>
      </c>
      <c r="D1230" s="6">
        <v>1.4054813773717499E-4</v>
      </c>
      <c r="E1230" s="7">
        <v>1.12438510189739E-2</v>
      </c>
      <c r="AF1230" t="str">
        <v>Staff: Yoshinobu Tokumoto (Episode Director (eps 4, 10))</v>
      </c>
    </row>
    <row r="1231" spans="1:32" x14ac:dyDescent="0.3">
      <c r="A1231" t="str">
        <f>HYPERLINK("https://anilist.co/staff/136205","Staff: Yuuya Sakuma  (Assistant Director of Photography)")</f>
        <v>Staff: Yuuya Sakuma  (Assistant Director of Photography)</v>
      </c>
      <c r="B1231" s="5">
        <v>80</v>
      </c>
      <c r="C1231" s="9">
        <v>1</v>
      </c>
      <c r="D1231" s="6">
        <v>1.4054813773717499E-4</v>
      </c>
      <c r="E1231" s="7">
        <v>1.12438510189739E-2</v>
      </c>
      <c r="AF1231" t="str">
        <v>Staff: Keiko Saito (Key Animation (eps 4, 5, 10))</v>
      </c>
    </row>
    <row r="1232" spans="1:32" x14ac:dyDescent="0.3">
      <c r="A1232" t="str">
        <f>HYPERLINK("https://anilist.co/staff/115206","Staff: Gen Hoshino (Theme Song Performance (ED))")</f>
        <v>Staff: Gen Hoshino (Theme Song Performance (ED))</v>
      </c>
      <c r="B1232" s="5">
        <v>80</v>
      </c>
      <c r="C1232" s="9">
        <v>1</v>
      </c>
      <c r="D1232" s="6">
        <v>1.4054813773717499E-4</v>
      </c>
      <c r="E1232" s="7">
        <v>1.12438510189739E-2</v>
      </c>
      <c r="AF1232" t="str">
        <v>Staff: Ryousuke Kimiya (Animation Director (ep 15))</v>
      </c>
    </row>
    <row r="1233" spans="1:32" x14ac:dyDescent="0.3">
      <c r="A1233" t="str">
        <f>HYPERLINK("https://anilist.co/staff/143110","Staff: Official HIGE DANdism (Theme Song Performance (OP))")</f>
        <v>Staff: Official HIGE DANdism (Theme Song Performance (OP))</v>
      </c>
      <c r="B1233" s="5">
        <v>80</v>
      </c>
      <c r="C1233" s="9">
        <v>1</v>
      </c>
      <c r="D1233" s="6">
        <v>1.4054813773717499E-4</v>
      </c>
      <c r="E1233" s="7">
        <v>1.12438510189739E-2</v>
      </c>
      <c r="AF1233" t="str">
        <v>Staff: Ryousuke Kimiya (2nd Key Animation (eps 2, 16))</v>
      </c>
    </row>
    <row r="1234" spans="1:32" x14ac:dyDescent="0.3">
      <c r="A1234" t="str">
        <f>HYPERLINK("https://anilist.co/staff/151106","Staff: Kazue Hayashi (Animation Producer)")</f>
        <v>Staff: Kazue Hayashi (Animation Producer)</v>
      </c>
      <c r="B1234" s="5">
        <v>80</v>
      </c>
      <c r="C1234" s="9">
        <v>1</v>
      </c>
      <c r="D1234" s="6">
        <v>1.4054813773717499E-4</v>
      </c>
      <c r="E1234" s="7">
        <v>1.12438510189739E-2</v>
      </c>
      <c r="AF1234" t="str">
        <v>Staff: Ryousuke Kimiya (Key Animation (ep 9))</v>
      </c>
    </row>
    <row r="1235" spans="1:32" x14ac:dyDescent="0.3">
      <c r="A1235" t="str">
        <f>HYPERLINK("https://anilist.co/staff/196459","Staff: Kazuki Yamanaka (Animation Producer)")</f>
        <v>Staff: Kazuki Yamanaka (Animation Producer)</v>
      </c>
      <c r="B1235" s="5">
        <v>80</v>
      </c>
      <c r="C1235" s="9">
        <v>1</v>
      </c>
      <c r="D1235" s="6">
        <v>1.4054813773717499E-4</v>
      </c>
      <c r="E1235" s="7">
        <v>1.12438510189739E-2</v>
      </c>
      <c r="AF1235" t="str">
        <v>Staff: Kenichi Kawamura (Storyboard (ep 2))</v>
      </c>
    </row>
    <row r="1236" spans="1:32" x14ac:dyDescent="0.3">
      <c r="A1236" t="str">
        <f>HYPERLINK("https://anilist.co/staff/103129","Staff: Taichi Ishidate (Director)")</f>
        <v>Staff: Taichi Ishidate (Director)</v>
      </c>
      <c r="B1236" s="5">
        <v>80</v>
      </c>
      <c r="C1236" s="9">
        <v>1</v>
      </c>
      <c r="D1236" s="6">
        <v>1.4054813773717499E-4</v>
      </c>
      <c r="E1236" s="7">
        <v>1.12438510189739E-2</v>
      </c>
      <c r="AF1236" t="str">
        <v>Staff: Lynn  (Theme Song Performance (ED))</v>
      </c>
    </row>
    <row r="1237" spans="1:32" x14ac:dyDescent="0.3">
      <c r="A1237" t="str">
        <f>HYPERLINK("https://anilist.co/staff/118490","Staff: Miho Karasawa (Theme Song Performance (OP))")</f>
        <v>Staff: Miho Karasawa (Theme Song Performance (OP))</v>
      </c>
      <c r="B1237" s="5">
        <v>80</v>
      </c>
      <c r="C1237" s="9">
        <v>1</v>
      </c>
      <c r="D1237" s="6">
        <v>1.4054813773717499E-4</v>
      </c>
      <c r="E1237" s="7">
        <v>1.12438510189739E-2</v>
      </c>
      <c r="AF1237" t="str">
        <v>Staff: Ayaka Oohashi (Theme Song Performance (OP, ED))</v>
      </c>
    </row>
    <row r="1238" spans="1:32" x14ac:dyDescent="0.3">
      <c r="A1238" t="str">
        <f>HYPERLINK("https://anilist.co/staff/122660","Staff: Akiko Takase (Character Design)")</f>
        <v>Staff: Akiko Takase (Character Design)</v>
      </c>
      <c r="B1238" s="5">
        <v>80</v>
      </c>
      <c r="C1238" s="9">
        <v>1</v>
      </c>
      <c r="D1238" s="6">
        <v>1.4054813773717499E-4</v>
      </c>
      <c r="E1238" s="7">
        <v>1.12438510189739E-2</v>
      </c>
      <c r="AF1238" t="str">
        <v>Staff: Rumi Ookubo (Theme Song Performance (ED))</v>
      </c>
    </row>
    <row r="1239" spans="1:32" x14ac:dyDescent="0.3">
      <c r="A1239" t="str">
        <f>HYPERLINK("https://anilist.co/staff/122660","Staff: Akiko Takase (Chief Animation Director)")</f>
        <v>Staff: Akiko Takase (Chief Animation Director)</v>
      </c>
      <c r="B1239" s="5">
        <v>80</v>
      </c>
      <c r="C1239" s="9">
        <v>1</v>
      </c>
      <c r="D1239" s="6">
        <v>1.4054813773717499E-4</v>
      </c>
      <c r="E1239" s="7">
        <v>1.12438510189739E-2</v>
      </c>
      <c r="AF1239" t="str">
        <v>Staff: Yumi Uchiyama (Theme Song Performance (ED))</v>
      </c>
    </row>
    <row r="1240" spans="1:32" x14ac:dyDescent="0.3">
      <c r="A1240" t="str">
        <f>HYPERLINK("https://anilist.co/staff/103129","Staff: Taichi Ishidate (Key Animation (OP))")</f>
        <v>Staff: Taichi Ishidate (Key Animation (OP))</v>
      </c>
      <c r="B1240" s="5">
        <v>80</v>
      </c>
      <c r="C1240" s="9">
        <v>1</v>
      </c>
      <c r="D1240" s="6">
        <v>1.4054813773717499E-4</v>
      </c>
      <c r="E1240" s="7">
        <v>1.12438510189739E-2</v>
      </c>
      <c r="AF1240" t="str">
        <v>Staff: Nao Touyama (Theme Song Performance (ED))</v>
      </c>
    </row>
    <row r="1241" spans="1:32" x14ac:dyDescent="0.3">
      <c r="A1241" t="str">
        <f>HYPERLINK("https://anilist.co/staff/118937","Staff: Haruka Fujita (Key Animation (ED))")</f>
        <v>Staff: Haruka Fujita (Key Animation (ED))</v>
      </c>
      <c r="B1241" s="5">
        <v>80</v>
      </c>
      <c r="C1241" s="9">
        <v>1</v>
      </c>
      <c r="D1241" s="6">
        <v>1.4054813773717499E-4</v>
      </c>
      <c r="E1241" s="7">
        <v>1.12438510189739E-2</v>
      </c>
      <c r="AF1241" t="str">
        <v>Staff: Hisashi Akimoto (CG Director)</v>
      </c>
    </row>
    <row r="1242" spans="1:32" x14ac:dyDescent="0.3">
      <c r="A1242" t="str">
        <f>HYPERLINK("https://anilist.co/staff/102025","Staff: Yoshiji Kigami (Key Animation (PV, eps 8, 10, 13))")</f>
        <v>Staff: Yoshiji Kigami (Key Animation (PV, eps 8, 10, 13))</v>
      </c>
      <c r="B1242" s="5">
        <v>80</v>
      </c>
      <c r="C1242" s="9">
        <v>1</v>
      </c>
      <c r="D1242" s="6">
        <v>1.4054813773717499E-4</v>
      </c>
      <c r="E1242" s="7">
        <v>1.12438510189739E-2</v>
      </c>
      <c r="AF1242" t="str">
        <v>Staff: Miyuki Abe (Color Design)</v>
      </c>
    </row>
    <row r="1243" spans="1:32" x14ac:dyDescent="0.3">
      <c r="A1243" t="str">
        <f>HYPERLINK("https://anilist.co/staff/120968","Staff: Mikiko Watanabe (Background Art (PV, eps 1, 3, 7, 9, 10, 12, 13))")</f>
        <v>Staff: Mikiko Watanabe (Background Art (PV, eps 1, 3, 7, 9, 10, 12, 13))</v>
      </c>
      <c r="B1243" s="5">
        <v>80</v>
      </c>
      <c r="C1243" s="9">
        <v>1</v>
      </c>
      <c r="D1243" s="6">
        <v>1.4054813773717499E-4</v>
      </c>
      <c r="E1243" s="7">
        <v>1.12438510189739E-2</v>
      </c>
      <c r="AF1243" t="str">
        <v>Staff: Takeo Gotou (Director of Photography)</v>
      </c>
    </row>
    <row r="1244" spans="1:32" x14ac:dyDescent="0.3">
      <c r="A1244" t="str">
        <f>HYPERLINK("https://anilist.co/staff/103081","Staff: Jouji Unoguchi (Art Design)")</f>
        <v>Staff: Jouji Unoguchi (Art Design)</v>
      </c>
      <c r="B1244" s="5">
        <v>80</v>
      </c>
      <c r="C1244" s="9">
        <v>1</v>
      </c>
      <c r="D1244" s="6">
        <v>1.4054813773717499E-4</v>
      </c>
      <c r="E1244" s="7">
        <v>1.12438510189739E-2</v>
      </c>
      <c r="AF1244" t="str">
        <v>Staff: Shuuichi Fujieda (Producer)</v>
      </c>
    </row>
    <row r="1245" spans="1:32" x14ac:dyDescent="0.3">
      <c r="A1245" t="str">
        <f>HYPERLINK("https://anilist.co/staff/115639","Staff: Rin Yamamoto (CG Director)")</f>
        <v>Staff: Rin Yamamoto (CG Director)</v>
      </c>
      <c r="B1245" s="5">
        <v>80</v>
      </c>
      <c r="C1245" s="9">
        <v>1</v>
      </c>
      <c r="D1245" s="6">
        <v>1.4054813773717499E-4</v>
      </c>
      <c r="E1245" s="7">
        <v>1.12438510189739E-2</v>
      </c>
      <c r="AF1245" t="str">
        <v>Staff: Hiroki Kitayoshi (Producer)</v>
      </c>
    </row>
    <row r="1246" spans="1:32" x14ac:dyDescent="0.3">
      <c r="A1246" t="str">
        <f>HYPERLINK("https://anilist.co/staff/119999","Staff: Evan Call (Music)")</f>
        <v>Staff: Evan Call (Music)</v>
      </c>
      <c r="B1246" s="5">
        <v>80</v>
      </c>
      <c r="C1246" s="9">
        <v>1</v>
      </c>
      <c r="D1246" s="6">
        <v>1.4054813773717499E-4</v>
      </c>
      <c r="E1246" s="7">
        <v>1.12438510189739E-2</v>
      </c>
      <c r="AF1246" t="str">
        <v>Staff: Youhei Kisara (Producer)</v>
      </c>
    </row>
    <row r="1247" spans="1:32" x14ac:dyDescent="0.3">
      <c r="A1247" t="str">
        <f>HYPERLINK("https://anilist.co/staff/124666","Staff: Kana Akatsuki (Original Creator)")</f>
        <v>Staff: Kana Akatsuki (Original Creator)</v>
      </c>
      <c r="B1247" s="5">
        <v>80</v>
      </c>
      <c r="C1247" s="9">
        <v>1</v>
      </c>
      <c r="D1247" s="6">
        <v>1.4054813773717499E-4</v>
      </c>
      <c r="E1247" s="7">
        <v>1.12438510189739E-2</v>
      </c>
      <c r="AF1247" t="str">
        <v>Staff: Atsushi Aitani (Producer)</v>
      </c>
    </row>
    <row r="1248" spans="1:32" x14ac:dyDescent="0.3">
      <c r="A1248" t="str">
        <f>HYPERLINK("https://anilist.co/staff/128757","Staff: Yuki Tsunoda (Animation Director (eps 4, 6, 7, 13))")</f>
        <v>Staff: Yuki Tsunoda (Animation Director (eps 4, 6, 7, 13))</v>
      </c>
      <c r="B1248" s="5">
        <v>80</v>
      </c>
      <c r="C1248" s="9">
        <v>1</v>
      </c>
      <c r="D1248" s="6">
        <v>1.4054813773717499E-4</v>
      </c>
      <c r="E1248" s="7">
        <v>1.12438510189739E-2</v>
      </c>
      <c r="AF1248" t="str">
        <v>Staff: Hidekichi Matsumoto (Original Creator)</v>
      </c>
    </row>
    <row r="1249" spans="1:32" x14ac:dyDescent="0.3">
      <c r="A1249" t="str">
        <f>HYPERLINK("https://anilist.co/staff/128757","Staff: Yuki Tsunoda (Key Animation (ep 4))")</f>
        <v>Staff: Yuki Tsunoda (Key Animation (ep 4))</v>
      </c>
      <c r="B1249" s="5">
        <v>80</v>
      </c>
      <c r="C1249" s="9">
        <v>1</v>
      </c>
      <c r="D1249" s="6">
        <v>1.4054813773717499E-4</v>
      </c>
      <c r="E1249" s="7">
        <v>1.12438510189739E-2</v>
      </c>
      <c r="AF1249" t="str">
        <v>Staff: Yasutoshi Kawai (Art Director)</v>
      </c>
    </row>
    <row r="1250" spans="1:32" x14ac:dyDescent="0.3">
      <c r="A1250" t="str">
        <f>HYPERLINK("https://anilist.co/staff/128758","Staff: Yuuko Myouken (Animation Director (eps 1, 3, 11))")</f>
        <v>Staff: Yuuko Myouken (Animation Director (eps 1, 3, 11))</v>
      </c>
      <c r="B1250" s="5">
        <v>80</v>
      </c>
      <c r="C1250" s="9">
        <v>1</v>
      </c>
      <c r="D1250" s="6">
        <v>1.4054813773717499E-4</v>
      </c>
      <c r="E1250" s="7">
        <v>1.12438510189739E-2</v>
      </c>
      <c r="AF1250" t="str">
        <v>Staff: Yoshimi Kawakami (Color Design)</v>
      </c>
    </row>
    <row r="1251" spans="1:32" x14ac:dyDescent="0.3">
      <c r="A1251" t="str">
        <f>HYPERLINK("https://anilist.co/staff/95053","Staff: Minori Chihara (Theme Song Performance (ED))")</f>
        <v>Staff: Minori Chihara (Theme Song Performance (ED))</v>
      </c>
      <c r="B1251" s="5">
        <v>80</v>
      </c>
      <c r="C1251" s="9">
        <v>1</v>
      </c>
      <c r="D1251" s="6">
        <v>1.4054813773717499E-4</v>
      </c>
      <c r="E1251" s="7">
        <v>1.12438510189739E-2</v>
      </c>
      <c r="AF1251" t="str">
        <v>Staff: Yoshiyuki Itou (Music Producer)</v>
      </c>
    </row>
    <row r="1252" spans="1:32" x14ac:dyDescent="0.3">
      <c r="A1252" t="s">
        <v>1014</v>
      </c>
      <c r="B1252" s="5">
        <v>80</v>
      </c>
      <c r="C1252" s="9">
        <v>1</v>
      </c>
      <c r="D1252" s="6">
        <v>1.4054813773717499E-4</v>
      </c>
      <c r="E1252" s="7">
        <v>1.12438510189739E-2</v>
      </c>
      <c r="AF1252" t="str">
        <v>Staff: Masashi Kudou (Character Design)</v>
      </c>
    </row>
    <row r="1253" spans="1:32" x14ac:dyDescent="0.3">
      <c r="A1253" t="str">
        <f>HYPERLINK("https://anilist.co/staff/118490","Staff: Miho Karasawa (Theme Song Lyrics (OP))")</f>
        <v>Staff: Miho Karasawa (Theme Song Lyrics (OP))</v>
      </c>
      <c r="B1253" s="5">
        <v>80</v>
      </c>
      <c r="C1253" s="9">
        <v>1</v>
      </c>
      <c r="D1253" s="6">
        <v>1.4054813773717499E-4</v>
      </c>
      <c r="E1253" s="7">
        <v>1.12438510189739E-2</v>
      </c>
      <c r="AF1253" t="str">
        <v>Staff: Yuuko Katou (Producer)</v>
      </c>
    </row>
    <row r="1254" spans="1:32" x14ac:dyDescent="0.3">
      <c r="A1254" t="s">
        <v>1015</v>
      </c>
      <c r="B1254" s="5">
        <v>80</v>
      </c>
      <c r="C1254" s="9">
        <v>1</v>
      </c>
      <c r="D1254" s="6">
        <v>1.4054813773717499E-4</v>
      </c>
      <c r="E1254" s="7">
        <v>1.12438510189739E-2</v>
      </c>
      <c r="AF1254" t="str">
        <v>Staff: Takayuki Tahata (Producer)</v>
      </c>
    </row>
    <row r="1255" spans="1:32" x14ac:dyDescent="0.3">
      <c r="A1255" t="str">
        <f>HYPERLINK("https://anilist.co/staff/149955","Staff: Hiroyuki Takahashi (Accessory Design)")</f>
        <v>Staff: Hiroyuki Takahashi (Accessory Design)</v>
      </c>
      <c r="B1255" s="5">
        <v>80</v>
      </c>
      <c r="C1255" s="9">
        <v>1</v>
      </c>
      <c r="D1255" s="6">
        <v>1.4054813773717499E-4</v>
      </c>
      <c r="E1255" s="7">
        <v>1.12438510189739E-2</v>
      </c>
      <c r="AF1255" t="str">
        <v>Staff: Takamitsu Kouno (Script (eps 7, 10, 11))</v>
      </c>
    </row>
    <row r="1256" spans="1:32" x14ac:dyDescent="0.3">
      <c r="A1256" t="str">
        <f>HYPERLINK("https://anilist.co/staff/149955","Staff: Hiroyuki Takahashi (Key Animation (ep 11))")</f>
        <v>Staff: Hiroyuki Takahashi (Key Animation (ep 11))</v>
      </c>
      <c r="B1256" s="5">
        <v>80</v>
      </c>
      <c r="C1256" s="9">
        <v>1</v>
      </c>
      <c r="D1256" s="6">
        <v>1.4054813773717499E-4</v>
      </c>
      <c r="E1256" s="7">
        <v>1.12438510189739E-2</v>
      </c>
      <c r="AF1256" t="str">
        <v>Staff: Masahiko Oota (Storyboard (eps 1, 4, 9, 10, 12))</v>
      </c>
    </row>
    <row r="1257" spans="1:32" x14ac:dyDescent="0.3">
      <c r="A1257" t="str">
        <f>HYPERLINK("https://anilist.co/staff/148230","Staff: Takaaki Suzuki (World Design)")</f>
        <v>Staff: Takaaki Suzuki (World Design)</v>
      </c>
      <c r="B1257" s="5">
        <v>80</v>
      </c>
      <c r="C1257" s="9">
        <v>1</v>
      </c>
      <c r="D1257" s="6">
        <v>1.4054813773717499E-4</v>
      </c>
      <c r="E1257" s="7">
        <v>1.12438510189739E-2</v>
      </c>
      <c r="AF1257" t="str">
        <v>Staff: Masato Takami (Producer)</v>
      </c>
    </row>
    <row r="1258" spans="1:32" x14ac:dyDescent="0.3">
      <c r="A1258" t="str">
        <f>HYPERLINK("https://anilist.co/staff/150315","Staff: Minoru Oota (Accessory Design)")</f>
        <v>Staff: Minoru Oota (Accessory Design)</v>
      </c>
      <c r="B1258" s="5">
        <v>80</v>
      </c>
      <c r="C1258" s="9">
        <v>1</v>
      </c>
      <c r="D1258" s="6">
        <v>1.4054813773717499E-4</v>
      </c>
      <c r="E1258" s="7">
        <v>1.12438510189739E-2</v>
      </c>
      <c r="AF1258" t="str">
        <v>Staff: Hikaru Nakamura (Original Creator)</v>
      </c>
    </row>
    <row r="1259" spans="1:32" x14ac:dyDescent="0.3">
      <c r="A1259" t="str">
        <f>HYPERLINK("https://anilist.co/staff/119500","Staff: Fujita (Original Creator)")</f>
        <v>Staff: Fujita (Original Creator)</v>
      </c>
      <c r="B1259" s="5">
        <v>80</v>
      </c>
      <c r="C1259" s="9">
        <v>1</v>
      </c>
      <c r="D1259" s="6">
        <v>1.4054813773717499E-4</v>
      </c>
      <c r="E1259" s="7">
        <v>1.12438510189739E-2</v>
      </c>
      <c r="AF1259" t="str">
        <v>Staff: Noriko Takao (Director)</v>
      </c>
    </row>
    <row r="1260" spans="1:32" x14ac:dyDescent="0.3">
      <c r="A1260" t="str">
        <f>HYPERLINK("https://anilist.co/staff/124716","Staff: Takahiro Yasuda (Character Design)")</f>
        <v>Staff: Takahiro Yasuda (Character Design)</v>
      </c>
      <c r="B1260" s="5">
        <v>80</v>
      </c>
      <c r="C1260" s="9">
        <v>1</v>
      </c>
      <c r="D1260" s="6">
        <v>1.4054813773717499E-4</v>
      </c>
      <c r="E1260" s="7">
        <v>1.12438510189739E-2</v>
      </c>
      <c r="AF1260" t="str">
        <v>Staff: Keiichi Suzuki (Music)</v>
      </c>
    </row>
    <row r="1261" spans="1:32" x14ac:dyDescent="0.3">
      <c r="A1261" t="str">
        <f>HYPERLINK("https://anilist.co/staff/124717","Staff: Akimitsu Honma (Music)")</f>
        <v>Staff: Akimitsu Honma (Music)</v>
      </c>
      <c r="B1261" s="5">
        <v>80</v>
      </c>
      <c r="C1261" s="9">
        <v>1</v>
      </c>
      <c r="D1261" s="6">
        <v>1.4054813773717499E-4</v>
      </c>
      <c r="E1261" s="7">
        <v>1.12438510189739E-2</v>
      </c>
      <c r="AF1261" t="str">
        <v>Staff: Gen Hoshino (Theme Song Performance)</v>
      </c>
    </row>
    <row r="1262" spans="1:32" x14ac:dyDescent="0.3">
      <c r="A1262" t="str">
        <f>HYPERLINK("https://anilist.co/staff/103094","Staff: Emi Kesamaru (Art Design)")</f>
        <v>Staff: Emi Kesamaru (Art Design)</v>
      </c>
      <c r="B1262" s="5">
        <v>80</v>
      </c>
      <c r="C1262" s="9">
        <v>1</v>
      </c>
      <c r="D1262" s="6">
        <v>1.4054813773717499E-4</v>
      </c>
      <c r="E1262" s="7">
        <v>1.12438510189739E-2</v>
      </c>
      <c r="AF1262" t="str">
        <v>Staff: Megumi Kouno (2nd Key Animation)</v>
      </c>
    </row>
    <row r="1263" spans="1:32" x14ac:dyDescent="0.3">
      <c r="A1263" t="str">
        <f>HYPERLINK("https://anilist.co/staff/127367","Staff: sumika (Theme Song Performance (OP))")</f>
        <v>Staff: sumika (Theme Song Performance (OP))</v>
      </c>
      <c r="B1263" s="5">
        <v>80</v>
      </c>
      <c r="C1263" s="9">
        <v>1</v>
      </c>
      <c r="D1263" s="6">
        <v>1.4054813773717499E-4</v>
      </c>
      <c r="E1263" s="7">
        <v>1.12438510189739E-2</v>
      </c>
      <c r="AF1263" t="str">
        <v>Staff: Jun Uemura (Art Design)</v>
      </c>
    </row>
    <row r="1264" spans="1:32" x14ac:dyDescent="0.3">
      <c r="A1264" t="str">
        <f>HYPERLINK("https://anilist.co/staff/137944","Staff: halca (Theme Song Performance (ED1, ED2))")</f>
        <v>Staff: halca (Theme Song Performance (ED1, ED2))</v>
      </c>
      <c r="B1264" s="5">
        <v>80</v>
      </c>
      <c r="C1264" s="9">
        <v>1</v>
      </c>
      <c r="D1264" s="6">
        <v>1.4054813773717499E-4</v>
      </c>
      <c r="E1264" s="7">
        <v>1.12438510189739E-2</v>
      </c>
      <c r="AF1264" t="str">
        <v>Staff: Yuuya Sakuma  (Director of Photography)</v>
      </c>
    </row>
    <row r="1265" spans="1:32" x14ac:dyDescent="0.3">
      <c r="A1265" t="str">
        <f>HYPERLINK("https://anilist.co/staff/149244","Staff: Mio Araki (Chief Animation Director (eps 1-11))")</f>
        <v>Staff: Mio Araki (Chief Animation Director (eps 1-11))</v>
      </c>
      <c r="B1265" s="5">
        <v>80</v>
      </c>
      <c r="C1265" s="9">
        <v>1</v>
      </c>
      <c r="D1265" s="6">
        <v>1.4054813773717499E-4</v>
      </c>
      <c r="E1265" s="7">
        <v>1.12438510189739E-2</v>
      </c>
      <c r="AF1265" t="str">
        <v>Staff: Jun Uemura (Layout Supervisor)</v>
      </c>
    </row>
    <row r="1266" spans="1:32" x14ac:dyDescent="0.3">
      <c r="A1266" t="str">
        <f>HYPERLINK("https://anilist.co/staff/134288","Staff: Izumi Sakamoto  (Color Design)")</f>
        <v>Staff: Izumi Sakamoto  (Color Design)</v>
      </c>
      <c r="B1266" s="5">
        <v>80</v>
      </c>
      <c r="C1266" s="9">
        <v>1</v>
      </c>
      <c r="D1266" s="6">
        <v>1.4054813773717499E-4</v>
      </c>
      <c r="E1266" s="7">
        <v>1.12438510189739E-2</v>
      </c>
      <c r="AF1266" t="str">
        <v>Staff: Akinori  Mishima (Editing)</v>
      </c>
    </row>
    <row r="1267" spans="1:32" x14ac:dyDescent="0.3">
      <c r="A1267" t="str">
        <f>HYPERLINK("https://anilist.co/staff/124716","Staff: Takahiro Yasuda (Chief Animation Director (eps 1-11))")</f>
        <v>Staff: Takahiro Yasuda (Chief Animation Director (eps 1-11))</v>
      </c>
      <c r="B1267" s="5">
        <v>80</v>
      </c>
      <c r="C1267" s="9">
        <v>1</v>
      </c>
      <c r="D1267" s="6">
        <v>1.4054813773717499E-4</v>
      </c>
      <c r="E1267" s="7">
        <v>1.12438510189739E-2</v>
      </c>
      <c r="AF1267" t="str">
        <v>Staff: Genki Kawamura (Producer)</v>
      </c>
    </row>
    <row r="1268" spans="1:32" x14ac:dyDescent="0.3">
      <c r="A1268" t="str">
        <f>HYPERLINK("https://anilist.co/staff/146325","Staff: Michiko Morokuma (Art Director)")</f>
        <v>Staff: Michiko Morokuma (Art Director)</v>
      </c>
      <c r="B1268" s="5">
        <v>80</v>
      </c>
      <c r="C1268" s="9">
        <v>1</v>
      </c>
      <c r="D1268" s="6">
        <v>1.4054813773717499E-4</v>
      </c>
      <c r="E1268" s="7">
        <v>1.12438510189739E-2</v>
      </c>
      <c r="AF1268" t="str">
        <v>Staff: Fusako Nakao (Color Design)</v>
      </c>
    </row>
    <row r="1269" spans="1:32" x14ac:dyDescent="0.3">
      <c r="A1269" t="str">
        <f>HYPERLINK("https://anilist.co/staff/175649","Staff: Kenta Kataoka (Theme Song Lyrics (OP))")</f>
        <v>Staff: Kenta Kataoka (Theme Song Lyrics (OP))</v>
      </c>
      <c r="B1269" s="5">
        <v>80</v>
      </c>
      <c r="C1269" s="9">
        <v>1</v>
      </c>
      <c r="D1269" s="6">
        <v>1.4054813773717499E-4</v>
      </c>
      <c r="E1269" s="7">
        <v>1.12438510189739E-2</v>
      </c>
      <c r="AF1269" t="str">
        <v>Staff: Kayo Oobou (Key Animation)</v>
      </c>
    </row>
    <row r="1270" spans="1:32" x14ac:dyDescent="0.3">
      <c r="A1270" t="str">
        <f>HYPERLINK("https://anilist.co/staff/127367","Staff: sumika (Theme Song Arrangement (OP))")</f>
        <v>Staff: sumika (Theme Song Arrangement (OP))</v>
      </c>
      <c r="B1270" s="5">
        <v>80</v>
      </c>
      <c r="C1270" s="9">
        <v>1</v>
      </c>
      <c r="D1270" s="6">
        <v>1.4054813773717499E-4</v>
      </c>
      <c r="E1270" s="7">
        <v>1.12438510189739E-2</v>
      </c>
      <c r="AF1270" t="str">
        <v>Staff: Rika Nedzu (Script)</v>
      </c>
    </row>
    <row r="1271" spans="1:32" x14ac:dyDescent="0.3">
      <c r="A1271" t="str">
        <f>HYPERLINK("https://anilist.co/staff/153137","Staff: Tomoya Kawasaki (Theme Song Arrangement (ED1))")</f>
        <v>Staff: Tomoya Kawasaki (Theme Song Arrangement (ED1))</v>
      </c>
      <c r="B1271" s="5">
        <v>80</v>
      </c>
      <c r="C1271" s="9">
        <v>1</v>
      </c>
      <c r="D1271" s="6">
        <v>1.4054813773717499E-4</v>
      </c>
      <c r="E1271" s="7">
        <v>1.12438510189739E-2</v>
      </c>
      <c r="AF1271" t="str">
        <v>Staff: Junichi Niizaka (Planning)</v>
      </c>
    </row>
    <row r="1272" spans="1:32" x14ac:dyDescent="0.3">
      <c r="A1272" t="str">
        <f>HYPERLINK("https://anilist.co/staff/153137","Staff: Tomoya Kawasaki (Theme Song Composition (ED1))")</f>
        <v>Staff: Tomoya Kawasaki (Theme Song Composition (ED1))</v>
      </c>
      <c r="B1272" s="5">
        <v>80</v>
      </c>
      <c r="C1272" s="9">
        <v>1</v>
      </c>
      <c r="D1272" s="6">
        <v>1.4054813773717499E-4</v>
      </c>
      <c r="E1272" s="7">
        <v>1.12438510189739E-2</v>
      </c>
      <c r="AF1272" t="str">
        <v>Staff: Mamoru Kanbe (Chief Unit Director)</v>
      </c>
    </row>
    <row r="1273" spans="1:32" x14ac:dyDescent="0.3">
      <c r="A1273" t="str">
        <f>HYPERLINK("https://anilist.co/staff/175649","Staff: Kenta Kataoka (Theme Song Composition (OP))")</f>
        <v>Staff: Kenta Kataoka (Theme Song Composition (OP))</v>
      </c>
      <c r="B1273" s="5">
        <v>80</v>
      </c>
      <c r="C1273" s="9">
        <v>1</v>
      </c>
      <c r="D1273" s="6">
        <v>1.4054813773717499E-4</v>
      </c>
      <c r="E1273" s="7">
        <v>1.12438510189739E-2</v>
      </c>
      <c r="AF1273" t="str">
        <v>Staff: Masuo Ueda (Planning)</v>
      </c>
    </row>
    <row r="1274" spans="1:32" x14ac:dyDescent="0.3">
      <c r="A1274" t="str">
        <f>HYPERLINK("https://anilist.co/staff/148206","Staff: Junko Miyajima (Theme Song Lyrics (ED1, ED2))")</f>
        <v>Staff: Junko Miyajima (Theme Song Lyrics (ED1, ED2))</v>
      </c>
      <c r="B1274" s="5">
        <v>80</v>
      </c>
      <c r="C1274" s="9">
        <v>1</v>
      </c>
      <c r="D1274" s="6">
        <v>1.4054813773717499E-4</v>
      </c>
      <c r="E1274" s="7">
        <v>1.12438510189739E-2</v>
      </c>
      <c r="AF1274" t="str">
        <v>Staff: Masahiro Emoto (Animation Director)</v>
      </c>
    </row>
    <row r="1275" spans="1:32" x14ac:dyDescent="0.3">
      <c r="A1275" t="str">
        <f>HYPERLINK("https://anilist.co/staff/142735","Staff: Naokado Fujiyama (Producer)")</f>
        <v>Staff: Naokado Fujiyama (Producer)</v>
      </c>
      <c r="B1275" s="5">
        <v>80</v>
      </c>
      <c r="C1275" s="9">
        <v>1</v>
      </c>
      <c r="D1275" s="6">
        <v>1.4054813773717499E-4</v>
      </c>
      <c r="E1275" s="7">
        <v>1.12438510189739E-2</v>
      </c>
      <c r="AF1275" t="str">
        <v>Staff: Naoyuki Asano (Character Design)</v>
      </c>
    </row>
    <row r="1276" spans="1:32" x14ac:dyDescent="0.3">
      <c r="A1276" t="str">
        <f>HYPERLINK("https://anilist.co/staff/157563","Staff: Akira Kimura (Production)")</f>
        <v>Staff: Akira Kimura (Production)</v>
      </c>
      <c r="B1276" s="5">
        <v>80</v>
      </c>
      <c r="C1276" s="9">
        <v>1</v>
      </c>
      <c r="D1276" s="6">
        <v>1.4054813773717499E-4</v>
      </c>
      <c r="E1276" s="7">
        <v>1.12438510189739E-2</v>
      </c>
      <c r="AF1276" t="str">
        <v>Staff: Noriko Takao (Storyboard)</v>
      </c>
    </row>
    <row r="1277" spans="1:32" x14ac:dyDescent="0.3">
      <c r="A1277" t="s">
        <v>5</v>
      </c>
      <c r="B1277" s="5">
        <v>70</v>
      </c>
      <c r="C1277" s="9">
        <v>1</v>
      </c>
      <c r="D1277" s="6">
        <v>1.4054813773717499E-4</v>
      </c>
      <c r="E1277" s="7">
        <v>9.8383696416022397E-3</v>
      </c>
      <c r="AF1277" t="str">
        <v>Staff: Yoshiko Okuda (Animation Director)</v>
      </c>
    </row>
    <row r="1278" spans="1:32" x14ac:dyDescent="0.3">
      <c r="A1278" t="s">
        <v>15</v>
      </c>
      <c r="B1278" s="5">
        <v>70</v>
      </c>
      <c r="C1278" s="9">
        <v>1</v>
      </c>
      <c r="D1278" s="6">
        <v>1.4054813773717499E-4</v>
      </c>
      <c r="E1278" s="7">
        <v>9.8383696416022397E-3</v>
      </c>
      <c r="AF1278" t="str">
        <v>Staff: Shizuka Kurosaki (Associate Producer)</v>
      </c>
    </row>
    <row r="1279" spans="1:32" x14ac:dyDescent="0.3">
      <c r="A1279" t="s">
        <v>27</v>
      </c>
      <c r="B1279" s="5">
        <v>70</v>
      </c>
      <c r="C1279" s="9">
        <v>1</v>
      </c>
      <c r="D1279" s="6">
        <v>1.4054813773717499E-4</v>
      </c>
      <c r="E1279" s="7">
        <v>9.8383696416022397E-3</v>
      </c>
      <c r="AF1279" t="str">
        <v>Staff: Takuya Kawai (Animation Director)</v>
      </c>
    </row>
    <row r="1280" spans="1:32" x14ac:dyDescent="0.3">
      <c r="A1280" t="s">
        <v>29</v>
      </c>
      <c r="B1280" s="5">
        <v>70</v>
      </c>
      <c r="C1280" s="9">
        <v>1</v>
      </c>
      <c r="D1280" s="6">
        <v>1.4054813773717499E-4</v>
      </c>
      <c r="E1280" s="7">
        <v>9.8383696416022397E-3</v>
      </c>
      <c r="AF1280" t="str">
        <v>Staff: Nobuiku Suzuki (Planning)</v>
      </c>
    </row>
    <row r="1281" spans="1:32" x14ac:dyDescent="0.3">
      <c r="A1281" t="s">
        <v>34</v>
      </c>
      <c r="B1281" s="5">
        <v>70</v>
      </c>
      <c r="C1281" s="9">
        <v>1</v>
      </c>
      <c r="D1281" s="6">
        <v>1.4054813773717499E-4</v>
      </c>
      <c r="E1281" s="7">
        <v>9.8383696416022397E-3</v>
      </c>
      <c r="AF1281" t="str">
        <v>Staff: Hajime Kamoshida (Original Story)</v>
      </c>
    </row>
    <row r="1282" spans="1:32" x14ac:dyDescent="0.3">
      <c r="A1282" t="s">
        <v>49</v>
      </c>
      <c r="B1282" s="5">
        <v>70</v>
      </c>
      <c r="C1282" s="9">
        <v>1</v>
      </c>
      <c r="D1282" s="6">
        <v>1.4054813773717499E-4</v>
      </c>
      <c r="E1282" s="7">
        <v>9.8383696416022397E-3</v>
      </c>
      <c r="AF1282" t="str">
        <v>Staff: Keiji Mizoguchi (Original Character Design)</v>
      </c>
    </row>
    <row r="1283" spans="1:32" x14ac:dyDescent="0.3">
      <c r="A1283" t="s">
        <v>74</v>
      </c>
      <c r="B1283" s="5">
        <v>70</v>
      </c>
      <c r="C1283" s="9">
        <v>1</v>
      </c>
      <c r="D1283" s="6">
        <v>1.4054813773717499E-4</v>
      </c>
      <c r="E1283" s="7">
        <v>9.8383696416022397E-3</v>
      </c>
      <c r="AF1283" t="str">
        <v>Staff: Souichi Masui (Director)</v>
      </c>
    </row>
    <row r="1284" spans="1:32" x14ac:dyDescent="0.3">
      <c r="A1284" t="s">
        <v>78</v>
      </c>
      <c r="B1284" s="5">
        <v>70</v>
      </c>
      <c r="C1284" s="9">
        <v>1</v>
      </c>
      <c r="D1284" s="6">
        <v>1.4054813773717499E-4</v>
      </c>
      <c r="E1284" s="7">
        <v>9.8383696416022397E-3</v>
      </c>
      <c r="AF1284" t="str">
        <v>Staff: the peggies (Theme Song Performance (OP))</v>
      </c>
    </row>
    <row r="1285" spans="1:32" x14ac:dyDescent="0.3">
      <c r="A1285" t="s">
        <v>128</v>
      </c>
      <c r="B1285" s="5">
        <v>70</v>
      </c>
      <c r="C1285" s="9">
        <v>1</v>
      </c>
      <c r="D1285" s="6">
        <v>1.4054813773717499E-4</v>
      </c>
      <c r="E1285" s="7">
        <v>9.8383696416022397E-3</v>
      </c>
      <c r="AF1285" t="str">
        <v>Staff: Hidetoshi Takahashi (Episode Director (ep 13))</v>
      </c>
    </row>
    <row r="1286" spans="1:32" x14ac:dyDescent="0.3">
      <c r="A1286" t="s">
        <v>133</v>
      </c>
      <c r="B1286" s="5">
        <v>70</v>
      </c>
      <c r="C1286" s="9">
        <v>1</v>
      </c>
      <c r="D1286" s="6">
        <v>1.4054813773717499E-4</v>
      </c>
      <c r="E1286" s="7">
        <v>9.8383696416022397E-3</v>
      </c>
      <c r="AF1286" t="str">
        <v>Staff: Yoshikazu Miyao (Storyboard (ep 9))</v>
      </c>
    </row>
    <row r="1287" spans="1:32" x14ac:dyDescent="0.3">
      <c r="A1287" t="s">
        <v>136</v>
      </c>
      <c r="B1287" s="5">
        <v>70</v>
      </c>
      <c r="C1287" s="9">
        <v>1</v>
      </c>
      <c r="D1287" s="6">
        <v>1.4054813773717499E-4</v>
      </c>
      <c r="E1287" s="7">
        <v>9.8383696416022397E-3</v>
      </c>
      <c r="AF1287" t="str">
        <v>Staff: Kazuya Iwata (Storyboard (ED1-5, eps 6, 12))</v>
      </c>
    </row>
    <row r="1288" spans="1:32" x14ac:dyDescent="0.3">
      <c r="A1288" t="s">
        <v>149</v>
      </c>
      <c r="B1288" s="5">
        <v>70</v>
      </c>
      <c r="C1288" s="9">
        <v>1</v>
      </c>
      <c r="D1288" s="6">
        <v>1.4054813773717499E-4</v>
      </c>
      <c r="E1288" s="7">
        <v>9.8383696416022397E-3</v>
      </c>
      <c r="AF1288" t="str">
        <v>Staff: Masahiro Yokotani (Script (eps 1-13))</v>
      </c>
    </row>
    <row r="1289" spans="1:32" x14ac:dyDescent="0.3">
      <c r="A1289" t="s">
        <v>150</v>
      </c>
      <c r="B1289" s="5">
        <v>70</v>
      </c>
      <c r="C1289" s="9">
        <v>1</v>
      </c>
      <c r="D1289" s="6">
        <v>1.4054813773717499E-4</v>
      </c>
      <c r="E1289" s="7">
        <v>9.8383696416022397E-3</v>
      </c>
      <c r="AF1289" t="str">
        <v>Staff: Kazuya Iwata (Episode Director (OP, ED1-5, eps 1, 6, 12))</v>
      </c>
    </row>
    <row r="1290" spans="1:32" x14ac:dyDescent="0.3">
      <c r="A1290" t="s">
        <v>151</v>
      </c>
      <c r="B1290" s="5">
        <v>70</v>
      </c>
      <c r="C1290" s="9">
        <v>1</v>
      </c>
      <c r="D1290" s="6">
        <v>1.4054813773717499E-4</v>
      </c>
      <c r="E1290" s="7">
        <v>9.8383696416022397E-3</v>
      </c>
      <c r="AF1290" t="str">
        <v>Staff: Souichi Masui (Storyboard (OP, eps 1, 3, 13))</v>
      </c>
    </row>
    <row r="1291" spans="1:32" x14ac:dyDescent="0.3">
      <c r="A1291" t="s">
        <v>181</v>
      </c>
      <c r="B1291" s="5">
        <v>70</v>
      </c>
      <c r="C1291" s="9">
        <v>1</v>
      </c>
      <c r="D1291" s="6">
        <v>1.4054813773717499E-4</v>
      </c>
      <c r="E1291" s="7">
        <v>9.8383696416022397E-3</v>
      </c>
      <c r="AF1291" t="str">
        <v>Staff: Kazushi Fujii (Art Design)</v>
      </c>
    </row>
    <row r="1292" spans="1:32" x14ac:dyDescent="0.3">
      <c r="A1292" t="s">
        <v>205</v>
      </c>
      <c r="B1292" s="5">
        <v>70</v>
      </c>
      <c r="C1292" s="9">
        <v>1</v>
      </c>
      <c r="D1292" s="6">
        <v>1.4054813773717499E-4</v>
      </c>
      <c r="E1292" s="7">
        <v>9.8383696416022397E-3</v>
      </c>
      <c r="AF1292" t="str">
        <v>Staff: Nao Touyama (Theme Song Performance (ED eps 1, 4, 5, 13))</v>
      </c>
    </row>
    <row r="1293" spans="1:32" x14ac:dyDescent="0.3">
      <c r="A1293" t="s">
        <v>219</v>
      </c>
      <c r="B1293" s="5">
        <v>70</v>
      </c>
      <c r="C1293" s="9">
        <v>1</v>
      </c>
      <c r="D1293" s="6">
        <v>1.4054813773717499E-4</v>
      </c>
      <c r="E1293" s="7">
        <v>9.8383696416022397E-3</v>
      </c>
      <c r="AF1293" t="str">
        <v>Staff: Maaya Uchida (Theme Song Performance (ED eps 1, 9, 10, 13))</v>
      </c>
    </row>
    <row r="1294" spans="1:32" x14ac:dyDescent="0.3">
      <c r="A1294" t="s">
        <v>223</v>
      </c>
      <c r="B1294" s="5">
        <v>70</v>
      </c>
      <c r="C1294" s="9">
        <v>1</v>
      </c>
      <c r="D1294" s="6">
        <v>1.4054813773717499E-4</v>
      </c>
      <c r="E1294" s="7">
        <v>9.8383696416022397E-3</v>
      </c>
      <c r="AF1294" t="str">
        <v>Staff: Sora Amamiya (Insert Song Performance (ep 10))</v>
      </c>
    </row>
    <row r="1295" spans="1:32" x14ac:dyDescent="0.3">
      <c r="A1295" t="s">
        <v>228</v>
      </c>
      <c r="B1295" s="5">
        <v>70</v>
      </c>
      <c r="C1295" s="9">
        <v>1</v>
      </c>
      <c r="D1295" s="6">
        <v>1.4054813773717499E-4</v>
      </c>
      <c r="E1295" s="7">
        <v>9.8383696416022397E-3</v>
      </c>
      <c r="AF1295" t="str">
        <v>Staff: Yukihiro Shibutani (Art Director)</v>
      </c>
    </row>
    <row r="1296" spans="1:32" x14ac:dyDescent="0.3">
      <c r="A1296" t="s">
        <v>235</v>
      </c>
      <c r="B1296" s="5">
        <v>70</v>
      </c>
      <c r="C1296" s="9">
        <v>1</v>
      </c>
      <c r="D1296" s="6">
        <v>1.4054813773717499E-4</v>
      </c>
      <c r="E1296" s="7">
        <v>9.8383696416022397E-3</v>
      </c>
      <c r="AF1296" t="str">
        <v>Staff: Akira Takada (Chief Animation Director (eps 2, 4, 6, 8, 10))</v>
      </c>
    </row>
    <row r="1297" spans="1:32" x14ac:dyDescent="0.3">
      <c r="A1297" t="s">
        <v>237</v>
      </c>
      <c r="B1297" s="5">
        <v>70</v>
      </c>
      <c r="C1297" s="9">
        <v>1</v>
      </c>
      <c r="D1297" s="6">
        <v>1.4054813773717499E-4</v>
      </c>
      <c r="E1297" s="7">
        <v>9.8383696416022397E-3</v>
      </c>
      <c r="AF1297" t="str">
        <v>Staff: Inori Minase (Theme Song Performance (ED eps 1, 13))</v>
      </c>
    </row>
    <row r="1298" spans="1:32" x14ac:dyDescent="0.3">
      <c r="A1298" t="s">
        <v>238</v>
      </c>
      <c r="B1298" s="5">
        <v>70</v>
      </c>
      <c r="C1298" s="9">
        <v>1</v>
      </c>
      <c r="D1298" s="6">
        <v>1.4054813773717499E-4</v>
      </c>
      <c r="E1298" s="7">
        <v>9.8383696416022397E-3</v>
      </c>
      <c r="AF1298" t="str">
        <v>Staff: Yurika Kubo (Theme Song Performance (ED eps 1, 11-13))</v>
      </c>
    </row>
    <row r="1299" spans="1:32" x14ac:dyDescent="0.3">
      <c r="A1299" t="s">
        <v>244</v>
      </c>
      <c r="B1299" s="5">
        <v>70</v>
      </c>
      <c r="C1299" s="9">
        <v>1</v>
      </c>
      <c r="D1299" s="6">
        <v>1.4054813773717499E-4</v>
      </c>
      <c r="E1299" s="7">
        <v>9.8383696416022397E-3</v>
      </c>
      <c r="AF1299" t="str">
        <v>Staff: Asami Seto (Theme Song Performance (ED eps 1-3, 13))</v>
      </c>
    </row>
    <row r="1300" spans="1:32" x14ac:dyDescent="0.3">
      <c r="A1300" t="s">
        <v>246</v>
      </c>
      <c r="B1300" s="5">
        <v>70</v>
      </c>
      <c r="C1300" s="9">
        <v>1</v>
      </c>
      <c r="D1300" s="6">
        <v>1.4054813773717499E-4</v>
      </c>
      <c r="E1300" s="7">
        <v>9.8383696416022397E-3</v>
      </c>
      <c r="AF1300" t="str">
        <v>Staff: Atsumi Tanezaki (Theme Song Performance (ED eps 1, 7, 8, 13))</v>
      </c>
    </row>
    <row r="1301" spans="1:32" x14ac:dyDescent="0.3">
      <c r="A1301" t="s">
        <v>247</v>
      </c>
      <c r="B1301" s="5">
        <v>70</v>
      </c>
      <c r="C1301" s="9">
        <v>1</v>
      </c>
      <c r="D1301" s="6">
        <v>1.4054813773717499E-4</v>
      </c>
      <c r="E1301" s="7">
        <v>9.8383696416022397E-3</v>
      </c>
      <c r="AF1301" t="str">
        <v>Staff: Maaya Uchida (Insert Song Performance (ep 10))</v>
      </c>
    </row>
    <row r="1302" spans="1:32" x14ac:dyDescent="0.3">
      <c r="A1302" t="s">
        <v>251</v>
      </c>
      <c r="B1302" s="5">
        <v>70</v>
      </c>
      <c r="C1302" s="9">
        <v>1</v>
      </c>
      <c r="D1302" s="6">
        <v>1.4054813773717499E-4</v>
      </c>
      <c r="E1302" s="7">
        <v>9.8383696416022397E-3</v>
      </c>
      <c r="AF1302" t="str">
        <v>Staff: Daisuke Hiramaki (Storyboard (ep 5))</v>
      </c>
    </row>
    <row r="1303" spans="1:32" x14ac:dyDescent="0.3">
      <c r="A1303" t="s">
        <v>252</v>
      </c>
      <c r="B1303" s="5">
        <v>70</v>
      </c>
      <c r="C1303" s="9">
        <v>1</v>
      </c>
      <c r="D1303" s="6">
        <v>1.4054813773717499E-4</v>
      </c>
      <c r="E1303" s="7">
        <v>9.8383696416022397E-3</v>
      </c>
      <c r="AF1303" t="str">
        <v>Staff: Kazuki Horiguchi (Storyboard (ep 11))</v>
      </c>
    </row>
    <row r="1304" spans="1:32" x14ac:dyDescent="0.3">
      <c r="A1304" t="s">
        <v>253</v>
      </c>
      <c r="B1304" s="5">
        <v>70</v>
      </c>
      <c r="C1304" s="9">
        <v>1</v>
      </c>
      <c r="D1304" s="6">
        <v>1.4054813773717499E-4</v>
      </c>
      <c r="E1304" s="7">
        <v>9.8383696416022397E-3</v>
      </c>
      <c r="AF1304" t="str">
        <v>Staff: Masato Jinbou (Series Composition)</v>
      </c>
    </row>
    <row r="1305" spans="1:32" x14ac:dyDescent="0.3">
      <c r="A1305" t="s">
        <v>254</v>
      </c>
      <c r="B1305" s="5">
        <v>70</v>
      </c>
      <c r="C1305" s="9">
        <v>1</v>
      </c>
      <c r="D1305" s="6">
        <v>1.4054813773717499E-4</v>
      </c>
      <c r="E1305" s="7">
        <v>9.8383696416022397E-3</v>
      </c>
      <c r="AF1305" t="str">
        <v>Staff: Masato Jinbou (Director)</v>
      </c>
    </row>
    <row r="1306" spans="1:32" x14ac:dyDescent="0.3">
      <c r="A1306" t="s">
        <v>257</v>
      </c>
      <c r="B1306" s="5">
        <v>70</v>
      </c>
      <c r="C1306" s="9">
        <v>1</v>
      </c>
      <c r="D1306" s="6">
        <v>1.4054813773717499E-4</v>
      </c>
      <c r="E1306" s="7">
        <v>9.8383696416022397E-3</v>
      </c>
      <c r="AF1306" t="str">
        <v>Staff: Masakuni Igarashi (Original Creator)</v>
      </c>
    </row>
    <row r="1307" spans="1:32" x14ac:dyDescent="0.3">
      <c r="A1307" t="s">
        <v>258</v>
      </c>
      <c r="B1307" s="5">
        <v>70</v>
      </c>
      <c r="C1307" s="9">
        <v>1</v>
      </c>
      <c r="D1307" s="6">
        <v>1.4054813773717499E-4</v>
      </c>
      <c r="E1307" s="7">
        <v>9.8383696416022397E-3</v>
      </c>
      <c r="AF1307" t="str">
        <v>Staff: Maki Hashimoto (Character Design)</v>
      </c>
    </row>
    <row r="1308" spans="1:32" x14ac:dyDescent="0.3">
      <c r="A1308" t="s">
        <v>259</v>
      </c>
      <c r="B1308" s="5">
        <v>70</v>
      </c>
      <c r="C1308" s="9">
        <v>1</v>
      </c>
      <c r="D1308" s="6">
        <v>1.4054813773717499E-4</v>
      </c>
      <c r="E1308" s="7">
        <v>9.8383696416022397E-3</v>
      </c>
      <c r="AF1308" t="str">
        <v>Staff: Shinobu Takahashi (Art Director)</v>
      </c>
    </row>
    <row r="1309" spans="1:32" x14ac:dyDescent="0.3">
      <c r="A1309" t="s">
        <v>283</v>
      </c>
      <c r="B1309" s="5">
        <v>70</v>
      </c>
      <c r="C1309" s="9">
        <v>1</v>
      </c>
      <c r="D1309" s="6">
        <v>1.4054813773717499E-4</v>
      </c>
      <c r="E1309" s="7">
        <v>9.8383696416022397E-3</v>
      </c>
      <c r="AF1309" t="str">
        <v>Staff: Sonoko Inoue (Theme Song Performance (OP))</v>
      </c>
    </row>
    <row r="1310" spans="1:32" x14ac:dyDescent="0.3">
      <c r="A1310" t="s">
        <v>285</v>
      </c>
      <c r="B1310" s="5">
        <v>70</v>
      </c>
      <c r="C1310" s="9">
        <v>1</v>
      </c>
      <c r="D1310" s="6">
        <v>1.4054813773717499E-4</v>
      </c>
      <c r="E1310" s="7">
        <v>9.8383696416022397E-3</v>
      </c>
      <c r="AF1310" t="str">
        <v>Staff: Rikako Aida (Theme Song Performance (ED))</v>
      </c>
    </row>
    <row r="1311" spans="1:32" x14ac:dyDescent="0.3">
      <c r="A1311" t="s">
        <v>286</v>
      </c>
      <c r="B1311" s="5">
        <v>70</v>
      </c>
      <c r="C1311" s="9">
        <v>1</v>
      </c>
      <c r="D1311" s="6">
        <v>1.4054813773717499E-4</v>
      </c>
      <c r="E1311" s="7">
        <v>9.8383696416022397E-3</v>
      </c>
      <c r="AF1311" t="str">
        <v>Staff: Hirotoshi Kurita (Original Work Assistance)</v>
      </c>
    </row>
    <row r="1312" spans="1:32" x14ac:dyDescent="0.3">
      <c r="A1312" t="s">
        <v>292</v>
      </c>
      <c r="B1312" s="5">
        <v>70</v>
      </c>
      <c r="C1312" s="9">
        <v>1</v>
      </c>
      <c r="D1312" s="6">
        <v>1.4054813773717499E-4</v>
      </c>
      <c r="E1312" s="7">
        <v>9.8383696416022397E-3</v>
      </c>
      <c r="AF1312" t="str">
        <v>Staff: Hiroo Maruyama (Planning)</v>
      </c>
    </row>
    <row r="1313" spans="1:32" x14ac:dyDescent="0.3">
      <c r="A1313" t="s">
        <v>294</v>
      </c>
      <c r="B1313" s="5">
        <v>70</v>
      </c>
      <c r="C1313" s="9">
        <v>1</v>
      </c>
      <c r="D1313" s="6">
        <v>1.4054813773717499E-4</v>
      </c>
      <c r="E1313" s="7">
        <v>9.8383696416022397E-3</v>
      </c>
      <c r="AF1313" t="str">
        <v>Staff: Rina Shinoda (Producer)</v>
      </c>
    </row>
    <row r="1314" spans="1:32" x14ac:dyDescent="0.3">
      <c r="A1314" t="s">
        <v>296</v>
      </c>
      <c r="B1314" s="5">
        <v>70</v>
      </c>
      <c r="C1314" s="9">
        <v>1</v>
      </c>
      <c r="D1314" s="6">
        <v>1.4054813773717499E-4</v>
      </c>
      <c r="E1314" s="7">
        <v>9.8383696416022397E-3</v>
      </c>
      <c r="AF1314" t="str">
        <v>Staff: Masaki Fujie (Music Producer)</v>
      </c>
    </row>
    <row r="1315" spans="1:32" x14ac:dyDescent="0.3">
      <c r="A1315" t="s">
        <v>308</v>
      </c>
      <c r="B1315" s="5">
        <v>70</v>
      </c>
      <c r="C1315" s="9">
        <v>1</v>
      </c>
      <c r="D1315" s="6">
        <v>1.4054813773717499E-4</v>
      </c>
      <c r="E1315" s="7">
        <v>9.8383696416022397E-3</v>
      </c>
      <c r="AF1315" t="str">
        <v>Staff: Naokazu Tsuruta (Production)</v>
      </c>
    </row>
    <row r="1316" spans="1:32" x14ac:dyDescent="0.3">
      <c r="A1316" t="s">
        <v>315</v>
      </c>
      <c r="B1316" s="5">
        <v>70</v>
      </c>
      <c r="C1316" s="9">
        <v>1</v>
      </c>
      <c r="D1316" s="6">
        <v>1.4054813773717499E-4</v>
      </c>
      <c r="E1316" s="7">
        <v>9.8383696416022397E-3</v>
      </c>
      <c r="AF1316" t="str">
        <v>Staff: Masataka Mikami (Music Producer)</v>
      </c>
    </row>
    <row r="1317" spans="1:32" x14ac:dyDescent="0.3">
      <c r="A1317" t="s">
        <v>324</v>
      </c>
      <c r="B1317" s="5">
        <v>70</v>
      </c>
      <c r="C1317" s="9">
        <v>1</v>
      </c>
      <c r="D1317" s="6">
        <v>1.4054813773717499E-4</v>
      </c>
      <c r="E1317" s="7">
        <v>9.8383696416022397E-3</v>
      </c>
      <c r="AF1317" t="str">
        <v>Staff: Hiroshi Kamei (Producer)</v>
      </c>
    </row>
    <row r="1318" spans="1:32" x14ac:dyDescent="0.3">
      <c r="A1318" t="s">
        <v>328</v>
      </c>
      <c r="B1318" s="5">
        <v>70</v>
      </c>
      <c r="C1318" s="9">
        <v>1</v>
      </c>
      <c r="D1318" s="6">
        <v>1.4054813773717499E-4</v>
      </c>
      <c r="E1318" s="7">
        <v>9.8383696416022397E-3</v>
      </c>
      <c r="AF1318" t="str">
        <v>Staff: Yuusuke Muranaka (Planning)</v>
      </c>
    </row>
    <row r="1319" spans="1:32" x14ac:dyDescent="0.3">
      <c r="A1319" t="s">
        <v>330</v>
      </c>
      <c r="B1319" s="5">
        <v>70</v>
      </c>
      <c r="C1319" s="9">
        <v>1</v>
      </c>
      <c r="D1319" s="6">
        <v>1.4054813773717499E-4</v>
      </c>
      <c r="E1319" s="7">
        <v>9.8383696416022397E-3</v>
      </c>
      <c r="AF1319" t="str">
        <v>Staff: Makoto Furukawa (Producer)</v>
      </c>
    </row>
    <row r="1320" spans="1:32" x14ac:dyDescent="0.3">
      <c r="A1320" t="s">
        <v>332</v>
      </c>
      <c r="B1320" s="5">
        <v>70</v>
      </c>
      <c r="C1320" s="9">
        <v>1</v>
      </c>
      <c r="D1320" s="6">
        <v>1.4054813773717499E-4</v>
      </c>
      <c r="E1320" s="7">
        <v>9.8383696416022397E-3</v>
      </c>
      <c r="AF1320" t="str">
        <v>Staff: Satoshi Hiratsuka (Original Work Assistance)</v>
      </c>
    </row>
    <row r="1321" spans="1:32" x14ac:dyDescent="0.3">
      <c r="A1321" t="s">
        <v>350</v>
      </c>
      <c r="B1321" s="5">
        <v>70</v>
      </c>
      <c r="C1321" s="9">
        <v>1</v>
      </c>
      <c r="D1321" s="6">
        <v>1.4054813773717499E-4</v>
      </c>
      <c r="E1321" s="7">
        <v>9.8383696416022397E-3</v>
      </c>
      <c r="AF1321" t="str">
        <v>Staff: Hideyuki Igarashi (Production)</v>
      </c>
    </row>
    <row r="1322" spans="1:32" x14ac:dyDescent="0.3">
      <c r="A1322" t="s">
        <v>356</v>
      </c>
      <c r="B1322" s="5">
        <v>70</v>
      </c>
      <c r="C1322" s="9">
        <v>1</v>
      </c>
      <c r="D1322" s="6">
        <v>1.4054813773717499E-4</v>
      </c>
      <c r="E1322" s="7">
        <v>9.8383696416022397E-3</v>
      </c>
      <c r="AF1322" t="str">
        <v>Staff: Tony Oliver (ADR Director)</v>
      </c>
    </row>
    <row r="1323" spans="1:32" x14ac:dyDescent="0.3">
      <c r="A1323" t="s">
        <v>358</v>
      </c>
      <c r="B1323" s="5">
        <v>70</v>
      </c>
      <c r="C1323" s="9">
        <v>1</v>
      </c>
      <c r="D1323" s="6">
        <v>1.4054813773717499E-4</v>
      </c>
      <c r="E1323" s="7">
        <v>9.8383696416022397E-3</v>
      </c>
      <c r="AF1323" t="str">
        <v>Staff: Kanae Itou (Theme Song Performance  (ED))</v>
      </c>
    </row>
    <row r="1324" spans="1:32" x14ac:dyDescent="0.3">
      <c r="A1324" t="s">
        <v>365</v>
      </c>
      <c r="B1324" s="5">
        <v>70</v>
      </c>
      <c r="C1324" s="9">
        <v>1</v>
      </c>
      <c r="D1324" s="6">
        <v>1.4054813773717499E-4</v>
      </c>
      <c r="E1324" s="7">
        <v>9.8383696416022397E-3</v>
      </c>
      <c r="AF1324" t="str">
        <v>Staff: Michiko Yokote (Series Composition)</v>
      </c>
    </row>
    <row r="1325" spans="1:32" x14ac:dyDescent="0.3">
      <c r="A1325" t="s">
        <v>366</v>
      </c>
      <c r="B1325" s="5">
        <v>70</v>
      </c>
      <c r="C1325" s="9">
        <v>1</v>
      </c>
      <c r="D1325" s="6">
        <v>1.4054813773717499E-4</v>
      </c>
      <c r="E1325" s="7">
        <v>9.8383696416022397E-3</v>
      </c>
      <c r="AF1325" t="str">
        <v>Staff: Michiko Yokote (Script  (ep 1, 2, 4, 5, 8, 10A, 10B, 11A, 12B, 12C))</v>
      </c>
    </row>
    <row r="1326" spans="1:32" x14ac:dyDescent="0.3">
      <c r="A1326" t="s">
        <v>368</v>
      </c>
      <c r="B1326" s="5">
        <v>70</v>
      </c>
      <c r="C1326" s="9">
        <v>1</v>
      </c>
      <c r="D1326" s="6">
        <v>1.4054813773717499E-4</v>
      </c>
      <c r="E1326" s="7">
        <v>9.8383696416022397E-3</v>
      </c>
      <c r="AF1326" t="str">
        <v>Staff: Masakazu Ishikawa (Chief Animation Director)</v>
      </c>
    </row>
    <row r="1327" spans="1:32" x14ac:dyDescent="0.3">
      <c r="A1327" t="s">
        <v>369</v>
      </c>
      <c r="B1327" s="5">
        <v>70</v>
      </c>
      <c r="C1327" s="9">
        <v>1</v>
      </c>
      <c r="D1327" s="6">
        <v>1.4054813773717499E-4</v>
      </c>
      <c r="E1327" s="7">
        <v>9.8383696416022397E-3</v>
      </c>
      <c r="AF1327" t="str">
        <v>Staff: Masahiro Anbe (Original Creator)</v>
      </c>
    </row>
    <row r="1328" spans="1:32" x14ac:dyDescent="0.3">
      <c r="A1328" t="s">
        <v>371</v>
      </c>
      <c r="B1328" s="5">
        <v>70</v>
      </c>
      <c r="C1328" s="9">
        <v>1</v>
      </c>
      <c r="D1328" s="6">
        <v>1.4054813773717499E-4</v>
      </c>
      <c r="E1328" s="7">
        <v>9.8383696416022397E-3</v>
      </c>
      <c r="AF1328" t="str">
        <v>Staff: Hisako Kanemoto (Theme Song Performance  (OP))</v>
      </c>
    </row>
    <row r="1329" spans="1:32" x14ac:dyDescent="0.3">
      <c r="A1329" t="s">
        <v>372</v>
      </c>
      <c r="B1329" s="5">
        <v>70</v>
      </c>
      <c r="C1329" s="9">
        <v>1</v>
      </c>
      <c r="D1329" s="6">
        <v>1.4054813773717499E-4</v>
      </c>
      <c r="E1329" s="7">
        <v>9.8383696416022397E-3</v>
      </c>
      <c r="AF1329" t="str">
        <v>Staff: Tsutomu Mizushima (Episode Director)</v>
      </c>
    </row>
    <row r="1330" spans="1:32" x14ac:dyDescent="0.3">
      <c r="A1330" t="s">
        <v>379</v>
      </c>
      <c r="B1330" s="5">
        <v>70</v>
      </c>
      <c r="C1330" s="9">
        <v>1</v>
      </c>
      <c r="D1330" s="6">
        <v>1.4054813773717499E-4</v>
      </c>
      <c r="E1330" s="7">
        <v>9.8383696416022397E-3</v>
      </c>
      <c r="AF1330" t="str">
        <v>Staff: Tsutomu Mizushima (Screenplay)</v>
      </c>
    </row>
    <row r="1331" spans="1:32" x14ac:dyDescent="0.3">
      <c r="A1331" t="s">
        <v>380</v>
      </c>
      <c r="B1331" s="5">
        <v>70</v>
      </c>
      <c r="C1331" s="9">
        <v>1</v>
      </c>
      <c r="D1331" s="6">
        <v>1.4054813773717499E-4</v>
      </c>
      <c r="E1331" s="7">
        <v>9.8383696416022397E-3</v>
      </c>
      <c r="AF1331" t="str">
        <v>Staff: Tsutomu Mizushima (Storyboard)</v>
      </c>
    </row>
    <row r="1332" spans="1:32" x14ac:dyDescent="0.3">
      <c r="A1332" t="s">
        <v>383</v>
      </c>
      <c r="B1332" s="5">
        <v>70</v>
      </c>
      <c r="C1332" s="9">
        <v>1</v>
      </c>
      <c r="D1332" s="6">
        <v>1.4054813773717499E-4</v>
      </c>
      <c r="E1332" s="7">
        <v>9.8383696416022397E-3</v>
      </c>
      <c r="AF1332" t="str">
        <v>Staff: Tsutomu Mizushima (Director)</v>
      </c>
    </row>
    <row r="1333" spans="1:32" x14ac:dyDescent="0.3">
      <c r="A1333" t="s">
        <v>384</v>
      </c>
      <c r="B1333" s="5">
        <v>70</v>
      </c>
      <c r="C1333" s="9">
        <v>1</v>
      </c>
      <c r="D1333" s="6">
        <v>1.4054813773717499E-4</v>
      </c>
      <c r="E1333" s="7">
        <v>9.8383696416022397E-3</v>
      </c>
      <c r="AF1333" t="str">
        <v>Staff: Fumitoshi Oizaki (Key Animation  (OP))</v>
      </c>
    </row>
    <row r="1334" spans="1:32" x14ac:dyDescent="0.3">
      <c r="A1334" t="s">
        <v>385</v>
      </c>
      <c r="B1334" s="5">
        <v>70</v>
      </c>
      <c r="C1334" s="9">
        <v>1</v>
      </c>
      <c r="D1334" s="6">
        <v>1.4054813773717499E-4</v>
      </c>
      <c r="E1334" s="7">
        <v>9.8383696416022397E-3</v>
      </c>
      <c r="AF1334" t="str">
        <v>Staff: Naokatsu Tsuda (Storyboard  (eps 5a, 10a))</v>
      </c>
    </row>
    <row r="1335" spans="1:32" x14ac:dyDescent="0.3">
      <c r="A1335" t="s">
        <v>386</v>
      </c>
      <c r="B1335" s="5">
        <v>70</v>
      </c>
      <c r="C1335" s="9">
        <v>1</v>
      </c>
      <c r="D1335" s="6">
        <v>1.4054813773717499E-4</v>
      </c>
      <c r="E1335" s="7">
        <v>9.8383696416022397E-3</v>
      </c>
      <c r="AF1335" t="str">
        <v>Staff: Naokatsu Tsuda (Episode Director  (eps 5a, 10a, 10b))</v>
      </c>
    </row>
    <row r="1336" spans="1:32" x14ac:dyDescent="0.3">
      <c r="A1336" t="s">
        <v>390</v>
      </c>
      <c r="B1336" s="5">
        <v>70</v>
      </c>
      <c r="C1336" s="9">
        <v>1</v>
      </c>
      <c r="D1336" s="6">
        <v>1.4054813773717499E-4</v>
      </c>
      <c r="E1336" s="7">
        <v>9.8383696416022397E-3</v>
      </c>
      <c r="AF1336" t="str">
        <v>Staff: Toshinari Yamashita (Key Animation  (ep 7))</v>
      </c>
    </row>
    <row r="1337" spans="1:32" x14ac:dyDescent="0.3">
      <c r="A1337" t="s">
        <v>391</v>
      </c>
      <c r="B1337" s="5">
        <v>70</v>
      </c>
      <c r="C1337" s="9">
        <v>1</v>
      </c>
      <c r="D1337" s="6">
        <v>1.4054813773717499E-4</v>
      </c>
      <c r="E1337" s="7">
        <v>9.8383696416022397E-3</v>
      </c>
      <c r="AF1337" t="str">
        <v>Staff:  Ultra-Prism (Theme Song Performance  (OP))</v>
      </c>
    </row>
    <row r="1338" spans="1:32" x14ac:dyDescent="0.3">
      <c r="A1338" t="s">
        <v>392</v>
      </c>
      <c r="B1338" s="5">
        <v>70</v>
      </c>
      <c r="C1338" s="9">
        <v>1</v>
      </c>
      <c r="D1338" s="6">
        <v>1.4054813773717499E-4</v>
      </c>
      <c r="E1338" s="7">
        <v>9.8383696416022397E-3</v>
      </c>
      <c r="AF1338" t="str">
        <v>Staff: Shigeru Kimiya (Storyboard  (eps 6B, 6C))</v>
      </c>
    </row>
    <row r="1339" spans="1:32" x14ac:dyDescent="0.3">
      <c r="A1339" t="s">
        <v>393</v>
      </c>
      <c r="B1339" s="5">
        <v>70</v>
      </c>
      <c r="C1339" s="9">
        <v>1</v>
      </c>
      <c r="D1339" s="6">
        <v>1.4054813773717499E-4</v>
      </c>
      <c r="E1339" s="7">
        <v>9.8383696416022397E-3</v>
      </c>
      <c r="AF1339" t="str">
        <v>Staff: Shigeru Kimiya (Episode Director  (eps 6B, 6C))</v>
      </c>
    </row>
    <row r="1340" spans="1:32" x14ac:dyDescent="0.3">
      <c r="A1340" t="s">
        <v>394</v>
      </c>
      <c r="B1340" s="5">
        <v>70</v>
      </c>
      <c r="C1340" s="9">
        <v>1</v>
      </c>
      <c r="D1340" s="6">
        <v>1.4054813773717499E-4</v>
      </c>
      <c r="E1340" s="7">
        <v>9.8383696416022397E-3</v>
      </c>
      <c r="AF1340" t="str">
        <v>Staff: Aki Tsunaki (Key Animation  (ED))</v>
      </c>
    </row>
    <row r="1341" spans="1:32" x14ac:dyDescent="0.3">
      <c r="A1341" t="s">
        <v>397</v>
      </c>
      <c r="B1341" s="5">
        <v>70</v>
      </c>
      <c r="C1341" s="9">
        <v>1</v>
      </c>
      <c r="D1341" s="6">
        <v>1.4054813773717499E-4</v>
      </c>
      <c r="E1341" s="7">
        <v>9.8383696416022397E-3</v>
      </c>
      <c r="AF1341" t="str">
        <v>Staff: Takahiro Chiba (Key Animation  (ep 11))</v>
      </c>
    </row>
    <row r="1342" spans="1:32" x14ac:dyDescent="0.3">
      <c r="A1342" t="s">
        <v>398</v>
      </c>
      <c r="B1342" s="5">
        <v>70</v>
      </c>
      <c r="C1342" s="9">
        <v>1</v>
      </c>
      <c r="D1342" s="6">
        <v>1.4054813773717499E-4</v>
      </c>
      <c r="E1342" s="7">
        <v>9.8383696416022397E-3</v>
      </c>
      <c r="AF1342" t="str">
        <v>Staff: Naomi Ide (Key Animation  (OP))</v>
      </c>
    </row>
    <row r="1343" spans="1:32" x14ac:dyDescent="0.3">
      <c r="A1343" t="s">
        <v>399</v>
      </c>
      <c r="B1343" s="5">
        <v>70</v>
      </c>
      <c r="C1343" s="9">
        <v>1</v>
      </c>
      <c r="D1343" s="6">
        <v>1.4054813773717499E-4</v>
      </c>
      <c r="E1343" s="7">
        <v>9.8383696416022397E-3</v>
      </c>
      <c r="AF1343" t="str">
        <v>Staff: Naomi Ide (Episode Director  (ep 5c))</v>
      </c>
    </row>
    <row r="1344" spans="1:32" x14ac:dyDescent="0.3">
      <c r="A1344" t="s">
        <v>401</v>
      </c>
      <c r="B1344" s="5">
        <v>70</v>
      </c>
      <c r="C1344" s="9">
        <v>1</v>
      </c>
      <c r="D1344" s="6">
        <v>1.4054813773717499E-4</v>
      </c>
      <c r="E1344" s="7">
        <v>9.8383696416022397E-3</v>
      </c>
      <c r="AF1344" t="str">
        <v>Staff: Yuusuke Matsuo (Key Animation  (ep 11))</v>
      </c>
    </row>
    <row r="1345" spans="1:32" x14ac:dyDescent="0.3">
      <c r="A1345" t="s">
        <v>407</v>
      </c>
      <c r="B1345" s="5">
        <v>70</v>
      </c>
      <c r="C1345" s="9">
        <v>1</v>
      </c>
      <c r="D1345" s="6">
        <v>1.4054813773717499E-4</v>
      </c>
      <c r="E1345" s="7">
        <v>9.8383696416022397E-3</v>
      </c>
      <c r="AF1345" t="str">
        <v>Staff: CooRie  (Theme Song Performance (ED))</v>
      </c>
    </row>
    <row r="1346" spans="1:32" x14ac:dyDescent="0.3">
      <c r="A1346" t="s">
        <v>409</v>
      </c>
      <c r="B1346" s="5">
        <v>70</v>
      </c>
      <c r="C1346" s="9">
        <v>1</v>
      </c>
      <c r="D1346" s="6">
        <v>1.4054813773717499E-4</v>
      </c>
      <c r="E1346" s="7">
        <v>9.8383696416022397E-3</v>
      </c>
      <c r="AF1346" t="str">
        <v>Staff: Eiichi Takahashi (Executive Producer (English))</v>
      </c>
    </row>
    <row r="1347" spans="1:32" x14ac:dyDescent="0.3">
      <c r="A1347" t="s">
        <v>411</v>
      </c>
      <c r="B1347" s="5">
        <v>70</v>
      </c>
      <c r="C1347" s="9">
        <v>1</v>
      </c>
      <c r="D1347" s="6">
        <v>1.4054813773717499E-4</v>
      </c>
      <c r="E1347" s="7">
        <v>9.8383696416022397E-3</v>
      </c>
      <c r="AF1347" t="str">
        <v>Staff: John Swasey (ADR Director (English))</v>
      </c>
    </row>
    <row r="1348" spans="1:32" x14ac:dyDescent="0.3">
      <c r="A1348" t="s">
        <v>412</v>
      </c>
      <c r="B1348" s="5">
        <v>70</v>
      </c>
      <c r="C1348" s="9">
        <v>1</v>
      </c>
      <c r="D1348" s="6">
        <v>1.4054813773717499E-4</v>
      </c>
      <c r="E1348" s="7">
        <v>9.8383696416022397E-3</v>
      </c>
      <c r="AF1348" t="str">
        <v>Staff: Kozue Kananiwa (Planning)</v>
      </c>
    </row>
    <row r="1349" spans="1:32" x14ac:dyDescent="0.3">
      <c r="A1349" t="s">
        <v>415</v>
      </c>
      <c r="B1349" s="5">
        <v>70</v>
      </c>
      <c r="C1349" s="9">
        <v>1</v>
      </c>
      <c r="D1349" s="6">
        <v>1.4054813773717499E-4</v>
      </c>
      <c r="E1349" s="7">
        <v>9.8383696416022397E-3</v>
      </c>
      <c r="AF1349" t="str">
        <v>Staff: Hayato Kaneko (Planning)</v>
      </c>
    </row>
    <row r="1350" spans="1:32" x14ac:dyDescent="0.3">
      <c r="A1350" t="s">
        <v>416</v>
      </c>
      <c r="B1350" s="5">
        <v>70</v>
      </c>
      <c r="C1350" s="9">
        <v>1</v>
      </c>
      <c r="D1350" s="6">
        <v>1.4054813773717499E-4</v>
      </c>
      <c r="E1350" s="7">
        <v>9.8383696416022397E-3</v>
      </c>
      <c r="AF1350" t="str">
        <v>Staff: Kouta Kuroda (Planning)</v>
      </c>
    </row>
    <row r="1351" spans="1:32" x14ac:dyDescent="0.3">
      <c r="A1351" t="s">
        <v>417</v>
      </c>
      <c r="B1351" s="5">
        <v>70</v>
      </c>
      <c r="C1351" s="9">
        <v>1</v>
      </c>
      <c r="D1351" s="6">
        <v>1.4054813773717499E-4</v>
      </c>
      <c r="E1351" s="7">
        <v>9.8383696416022397E-3</v>
      </c>
      <c r="AF1351" t="str">
        <v>Staff: Akemi Omode (Series Composition)</v>
      </c>
    </row>
    <row r="1352" spans="1:32" x14ac:dyDescent="0.3">
      <c r="A1352" t="s">
        <v>428</v>
      </c>
      <c r="B1352" s="5">
        <v>70</v>
      </c>
      <c r="C1352" s="9">
        <v>1</v>
      </c>
      <c r="D1352" s="6">
        <v>1.4054813773717499E-4</v>
      </c>
      <c r="E1352" s="7">
        <v>9.8383696416022397E-3</v>
      </c>
      <c r="AF1352" t="str">
        <v>Staff: Kenji Hamada (Planning)</v>
      </c>
    </row>
    <row r="1353" spans="1:32" x14ac:dyDescent="0.3">
      <c r="A1353" t="s">
        <v>429</v>
      </c>
      <c r="B1353" s="5">
        <v>70</v>
      </c>
      <c r="C1353" s="9">
        <v>1</v>
      </c>
      <c r="D1353" s="6">
        <v>1.4054813773717499E-4</v>
      </c>
      <c r="E1353" s="7">
        <v>9.8383696416022397E-3</v>
      </c>
      <c r="AF1353" t="str">
        <v>Staff: Tsutomu Yanagimura (Planning)</v>
      </c>
    </row>
    <row r="1354" spans="1:32" x14ac:dyDescent="0.3">
      <c r="A1354" t="s">
        <v>430</v>
      </c>
      <c r="B1354" s="5">
        <v>70</v>
      </c>
      <c r="C1354" s="9">
        <v>1</v>
      </c>
      <c r="D1354" s="6">
        <v>1.4054813773717499E-4</v>
      </c>
      <c r="E1354" s="7">
        <v>9.8383696416022397E-3</v>
      </c>
      <c r="AF1354" t="str">
        <v>Staff: Daiki Kuribayashi (Art Director)</v>
      </c>
    </row>
    <row r="1355" spans="1:32" x14ac:dyDescent="0.3">
      <c r="A1355" t="s">
        <v>439</v>
      </c>
      <c r="B1355" s="5">
        <v>70</v>
      </c>
      <c r="C1355" s="9">
        <v>1</v>
      </c>
      <c r="D1355" s="6">
        <v>1.4054813773717499E-4</v>
      </c>
      <c r="E1355" s="7">
        <v>9.8383696416022397E-3</v>
      </c>
      <c r="AF1355" t="str">
        <v>Staff: Mai Ootsuka (Prop Design)</v>
      </c>
    </row>
    <row r="1356" spans="1:32" x14ac:dyDescent="0.3">
      <c r="A1356" t="s">
        <v>440</v>
      </c>
      <c r="B1356" s="5">
        <v>70</v>
      </c>
      <c r="C1356" s="9">
        <v>1</v>
      </c>
      <c r="D1356" s="6">
        <v>1.4054813773717499E-4</v>
      </c>
      <c r="E1356" s="7">
        <v>9.8383696416022397E-3</v>
      </c>
      <c r="AF1356" t="str">
        <v>Staff: Katsuyoshi Matsuura (Planning)</v>
      </c>
    </row>
    <row r="1357" spans="1:32" x14ac:dyDescent="0.3">
      <c r="A1357" t="s">
        <v>441</v>
      </c>
      <c r="B1357" s="5">
        <v>70</v>
      </c>
      <c r="C1357" s="9">
        <v>1</v>
      </c>
      <c r="D1357" s="6">
        <v>1.4054813773717499E-4</v>
      </c>
      <c r="E1357" s="7">
        <v>9.8383696416022397E-3</v>
      </c>
      <c r="AF1357" t="str">
        <v>Staff: Haruko Iizuka (Character Design)</v>
      </c>
    </row>
    <row r="1358" spans="1:32" x14ac:dyDescent="0.3">
      <c r="A1358" t="s">
        <v>442</v>
      </c>
      <c r="B1358" s="5">
        <v>70</v>
      </c>
      <c r="C1358" s="9">
        <v>1</v>
      </c>
      <c r="D1358" s="6">
        <v>1.4054813773717499E-4</v>
      </c>
      <c r="E1358" s="7">
        <v>9.8383696416022397E-3</v>
      </c>
      <c r="AF1358" t="str">
        <v>Staff: Eri Shigetomi (Color Design)</v>
      </c>
    </row>
    <row r="1359" spans="1:32" x14ac:dyDescent="0.3">
      <c r="A1359" t="s">
        <v>443</v>
      </c>
      <c r="B1359" s="5">
        <v>70</v>
      </c>
      <c r="C1359" s="9">
        <v>1</v>
      </c>
      <c r="D1359" s="6">
        <v>1.4054813773717499E-4</v>
      </c>
      <c r="E1359" s="7">
        <v>9.8383696416022397E-3</v>
      </c>
      <c r="AF1359" t="str">
        <v>Staff: Hayato Kaneko (Producer)</v>
      </c>
    </row>
    <row r="1360" spans="1:32" x14ac:dyDescent="0.3">
      <c r="A1360" t="s">
        <v>444</v>
      </c>
      <c r="B1360" s="5">
        <v>70</v>
      </c>
      <c r="C1360" s="9">
        <v>1</v>
      </c>
      <c r="D1360" s="6">
        <v>1.4054813773717499E-4</v>
      </c>
      <c r="E1360" s="7">
        <v>9.8383696416022397E-3</v>
      </c>
      <c r="AF1360" t="str">
        <v>Staff: Toshiki Kameyama (Sound Director)</v>
      </c>
    </row>
    <row r="1361" spans="1:32" x14ac:dyDescent="0.3">
      <c r="A1361" t="s">
        <v>445</v>
      </c>
      <c r="B1361" s="5">
        <v>70</v>
      </c>
      <c r="C1361" s="9">
        <v>1</v>
      </c>
      <c r="D1361" s="6">
        <v>1.4054813773717499E-4</v>
      </c>
      <c r="E1361" s="7">
        <v>9.8383696416022397E-3</v>
      </c>
      <c r="AF1361" t="str">
        <v>Staff: Yuushi Ibe (Episode Director (eps 4, 11))</v>
      </c>
    </row>
    <row r="1362" spans="1:32" x14ac:dyDescent="0.3">
      <c r="A1362" t="s">
        <v>446</v>
      </c>
      <c r="B1362" s="5">
        <v>70</v>
      </c>
      <c r="C1362" s="9">
        <v>1</v>
      </c>
      <c r="D1362" s="6">
        <v>1.4054813773717499E-4</v>
      </c>
      <c r="E1362" s="7">
        <v>9.8383696416022397E-3</v>
      </c>
      <c r="AF1362" t="str">
        <v>Staff: Akemi Omode (Script (eps 1-12))</v>
      </c>
    </row>
    <row r="1363" spans="1:32" x14ac:dyDescent="0.3">
      <c r="A1363" t="s">
        <v>447</v>
      </c>
      <c r="B1363" s="5">
        <v>70</v>
      </c>
      <c r="C1363" s="9">
        <v>1</v>
      </c>
      <c r="D1363" s="6">
        <v>1.4054813773717499E-4</v>
      </c>
      <c r="E1363" s="7">
        <v>9.8383696416022397E-3</v>
      </c>
      <c r="AF1363" t="str">
        <v>Staff: Masashi Tsunemitsu (Production Desk)</v>
      </c>
    </row>
    <row r="1364" spans="1:32" x14ac:dyDescent="0.3">
      <c r="A1364" t="s">
        <v>448</v>
      </c>
      <c r="B1364" s="5">
        <v>70</v>
      </c>
      <c r="C1364" s="9">
        <v>1</v>
      </c>
      <c r="D1364" s="6">
        <v>1.4054813773717499E-4</v>
      </c>
      <c r="E1364" s="7">
        <v>9.8383696416022397E-3</v>
      </c>
      <c r="AF1364" t="str">
        <v>Staff: Terushige Yoshie (Producer)</v>
      </c>
    </row>
    <row r="1365" spans="1:32" x14ac:dyDescent="0.3">
      <c r="A1365" t="s">
        <v>449</v>
      </c>
      <c r="B1365" s="5">
        <v>70</v>
      </c>
      <c r="C1365" s="9">
        <v>1</v>
      </c>
      <c r="D1365" s="6">
        <v>1.4054813773717499E-4</v>
      </c>
      <c r="E1365" s="7">
        <v>9.8383696416022397E-3</v>
      </c>
      <c r="AF1365" t="str">
        <v>Staff: Yousuke Imai (Planning)</v>
      </c>
    </row>
    <row r="1366" spans="1:32" x14ac:dyDescent="0.3">
      <c r="A1366" t="s">
        <v>450</v>
      </c>
      <c r="B1366" s="5">
        <v>70</v>
      </c>
      <c r="C1366" s="9">
        <v>1</v>
      </c>
      <c r="D1366" s="6">
        <v>1.4054813773717499E-4</v>
      </c>
      <c r="E1366" s="7">
        <v>9.8383696416022397E-3</v>
      </c>
      <c r="AF1366" t="str">
        <v>Staff: Hiroshi Takiguchi (Art Director)</v>
      </c>
    </row>
    <row r="1367" spans="1:32" x14ac:dyDescent="0.3">
      <c r="A1367" t="s">
        <v>451</v>
      </c>
      <c r="B1367" s="5">
        <v>70</v>
      </c>
      <c r="C1367" s="9">
        <v>1</v>
      </c>
      <c r="D1367" s="6">
        <v>1.4054813773717499E-4</v>
      </c>
      <c r="E1367" s="7">
        <v>9.8383696416022397E-3</v>
      </c>
      <c r="AF1367" t="str">
        <v>Staff: RADWIMPS (Insert Song Performance)</v>
      </c>
    </row>
    <row r="1368" spans="1:32" x14ac:dyDescent="0.3">
      <c r="A1368" t="s">
        <v>455</v>
      </c>
      <c r="B1368" s="5">
        <v>70</v>
      </c>
      <c r="C1368" s="9">
        <v>1</v>
      </c>
      <c r="D1368" s="6">
        <v>1.4054813773717499E-4</v>
      </c>
      <c r="E1368" s="7">
        <v>9.8383696416022397E-3</v>
      </c>
      <c r="AF1368" t="str">
        <v>Staff: Youjirou Noda (Insert Song Lyrics)</v>
      </c>
    </row>
    <row r="1369" spans="1:32" x14ac:dyDescent="0.3">
      <c r="A1369" t="s">
        <v>478</v>
      </c>
      <c r="B1369" s="5">
        <v>70</v>
      </c>
      <c r="C1369" s="9">
        <v>1</v>
      </c>
      <c r="D1369" s="6">
        <v>1.4054813773717499E-4</v>
      </c>
      <c r="E1369" s="7">
        <v>9.8383696416022397E-3</v>
      </c>
      <c r="AF1369" t="str">
        <v>Staff: Toko Miura (Insert Song Performance)</v>
      </c>
    </row>
    <row r="1370" spans="1:32" x14ac:dyDescent="0.3">
      <c r="A1370" t="s">
        <v>479</v>
      </c>
      <c r="B1370" s="5">
        <v>70</v>
      </c>
      <c r="C1370" s="9">
        <v>1</v>
      </c>
      <c r="D1370" s="6">
        <v>1.4054813773717499E-4</v>
      </c>
      <c r="E1370" s="7">
        <v>9.8383696416022397E-3</v>
      </c>
      <c r="AF1370" t="str">
        <v>Staff: Youjirou Noda (Insert Song Composition)</v>
      </c>
    </row>
    <row r="1371" spans="1:32" x14ac:dyDescent="0.3">
      <c r="A1371" t="s">
        <v>480</v>
      </c>
      <c r="B1371" s="5">
        <v>70</v>
      </c>
      <c r="C1371" s="9">
        <v>1</v>
      </c>
      <c r="D1371" s="6">
        <v>1.4054813773717499E-4</v>
      </c>
      <c r="E1371" s="7">
        <v>9.8383696416022397E-3</v>
      </c>
      <c r="AF1371" t="str">
        <v>Staff: Makoto Shinkai (Image Board)</v>
      </c>
    </row>
    <row r="1372" spans="1:32" x14ac:dyDescent="0.3">
      <c r="A1372" t="s">
        <v>481</v>
      </c>
      <c r="B1372" s="5">
        <v>70</v>
      </c>
      <c r="C1372" s="9">
        <v>1</v>
      </c>
      <c r="D1372" s="6">
        <v>1.4054813773717499E-4</v>
      </c>
      <c r="E1372" s="7">
        <v>9.8383696416022397E-3</v>
      </c>
      <c r="AF1372" t="str">
        <v>Staff: Youko Miki (Assistant Director)</v>
      </c>
    </row>
    <row r="1373" spans="1:32" x14ac:dyDescent="0.3">
      <c r="A1373" t="s">
        <v>482</v>
      </c>
      <c r="B1373" s="5">
        <v>70</v>
      </c>
      <c r="C1373" s="9">
        <v>1</v>
      </c>
      <c r="D1373" s="6">
        <v>1.4054813773717499E-4</v>
      </c>
      <c r="E1373" s="7">
        <v>9.8383696416022397E-3</v>
      </c>
      <c r="AF1373" t="str">
        <v>Staff: Atsushi Tamura (Animation Director)</v>
      </c>
    </row>
    <row r="1374" spans="1:32" x14ac:dyDescent="0.3">
      <c r="A1374" t="s">
        <v>483</v>
      </c>
      <c r="B1374" s="5">
        <v>70</v>
      </c>
      <c r="C1374" s="9">
        <v>1</v>
      </c>
      <c r="D1374" s="6">
        <v>1.4054813773717499E-4</v>
      </c>
      <c r="E1374" s="7">
        <v>9.8383696416022397E-3</v>
      </c>
      <c r="AF1374" t="str">
        <v>Staff: Yuuga Tokuno (Unit Director)</v>
      </c>
    </row>
    <row r="1375" spans="1:32" x14ac:dyDescent="0.3">
      <c r="A1375" t="s">
        <v>487</v>
      </c>
      <c r="B1375" s="5">
        <v>70</v>
      </c>
      <c r="C1375" s="9">
        <v>1</v>
      </c>
      <c r="D1375" s="6">
        <v>1.4054813773717499E-4</v>
      </c>
      <c r="E1375" s="7">
        <v>9.8383696416022397E-3</v>
      </c>
      <c r="AF1375" t="str">
        <v>Staff: Matthias von Stegmann (Script (German))</v>
      </c>
    </row>
    <row r="1376" spans="1:32" x14ac:dyDescent="0.3">
      <c r="A1376" t="s">
        <v>499</v>
      </c>
      <c r="B1376" s="5">
        <v>70</v>
      </c>
      <c r="C1376" s="9">
        <v>1</v>
      </c>
      <c r="D1376" s="6">
        <v>1.4054813773717499E-4</v>
      </c>
      <c r="E1376" s="7">
        <v>9.8383696416022397E-3</v>
      </c>
      <c r="AF1376" t="str">
        <v>Staff: Chiyoko Ueno (Key Animation)</v>
      </c>
    </row>
    <row r="1377" spans="1:32" x14ac:dyDescent="0.3">
      <c r="A1377" t="s">
        <v>500</v>
      </c>
      <c r="B1377" s="5">
        <v>70</v>
      </c>
      <c r="C1377" s="9">
        <v>1</v>
      </c>
      <c r="D1377" s="6">
        <v>1.4054813773717499E-4</v>
      </c>
      <c r="E1377" s="7">
        <v>9.8383696416022397E-3</v>
      </c>
      <c r="AF1377" t="str">
        <v>Staff: Minami Ichikawa (Production)</v>
      </c>
    </row>
    <row r="1378" spans="1:32" x14ac:dyDescent="0.3">
      <c r="A1378" t="s">
        <v>501</v>
      </c>
      <c r="B1378" s="5">
        <v>70</v>
      </c>
      <c r="C1378" s="9">
        <v>1</v>
      </c>
      <c r="D1378" s="6">
        <v>1.4054813773717499E-4</v>
      </c>
      <c r="E1378" s="7">
        <v>9.8383696416022397E-3</v>
      </c>
      <c r="AF1378" t="str">
        <v>Staff: Noritaka Kawaguchi (Production)</v>
      </c>
    </row>
    <row r="1379" spans="1:32" x14ac:dyDescent="0.3">
      <c r="A1379" t="s">
        <v>502</v>
      </c>
      <c r="B1379" s="5">
        <v>70</v>
      </c>
      <c r="C1379" s="9">
        <v>1</v>
      </c>
      <c r="D1379" s="6">
        <v>1.4054813773717499E-4</v>
      </c>
      <c r="E1379" s="7">
        <v>9.8383696416022397E-3</v>
      </c>
      <c r="AF1379" t="str">
        <v>Staff: Shunsuke Hirota (Key Animation)</v>
      </c>
    </row>
    <row r="1380" spans="1:32" x14ac:dyDescent="0.3">
      <c r="A1380" t="s">
        <v>504</v>
      </c>
      <c r="B1380" s="5">
        <v>70</v>
      </c>
      <c r="C1380" s="9">
        <v>1</v>
      </c>
      <c r="D1380" s="6">
        <v>1.4054813773717499E-4</v>
      </c>
      <c r="E1380" s="7">
        <v>9.8383696416022397E-3</v>
      </c>
      <c r="AF1380" t="str">
        <v>Staff: Yoshie Hayashi (Key Animation)</v>
      </c>
    </row>
    <row r="1381" spans="1:32" x14ac:dyDescent="0.3">
      <c r="A1381" t="s">
        <v>505</v>
      </c>
      <c r="B1381" s="5">
        <v>70</v>
      </c>
      <c r="C1381" s="9">
        <v>1</v>
      </c>
      <c r="D1381" s="6">
        <v>1.4054813773717499E-4</v>
      </c>
      <c r="E1381" s="7">
        <v>9.8383696416022397E-3</v>
      </c>
      <c r="AF1381" t="str">
        <v>Staff: Haru Yamada (Sound Director)</v>
      </c>
    </row>
    <row r="1382" spans="1:32" x14ac:dyDescent="0.3">
      <c r="A1382" t="s">
        <v>506</v>
      </c>
      <c r="B1382" s="5">
        <v>70</v>
      </c>
      <c r="C1382" s="9">
        <v>1</v>
      </c>
      <c r="D1382" s="6">
        <v>1.4054813773717499E-4</v>
      </c>
      <c r="E1382" s="7">
        <v>9.8383696416022397E-3</v>
      </c>
      <c r="AF1382" t="str">
        <v>Staff: Shigeto Tsuji (Key Animation)</v>
      </c>
    </row>
    <row r="1383" spans="1:32" x14ac:dyDescent="0.3">
      <c r="A1383" t="s">
        <v>508</v>
      </c>
      <c r="B1383" s="5">
        <v>70</v>
      </c>
      <c r="C1383" s="9">
        <v>1</v>
      </c>
      <c r="D1383" s="6">
        <v>1.4054813773717499E-4</v>
      </c>
      <c r="E1383" s="7">
        <v>9.8383696416022397E-3</v>
      </c>
      <c r="AF1383" t="str">
        <v>Staff: Atsushi Tamura (Character Design)</v>
      </c>
    </row>
    <row r="1384" spans="1:32" x14ac:dyDescent="0.3">
      <c r="A1384" t="s">
        <v>520</v>
      </c>
      <c r="B1384" s="5">
        <v>70</v>
      </c>
      <c r="C1384" s="9">
        <v>1</v>
      </c>
      <c r="D1384" s="6">
        <v>1.4054813773717499E-4</v>
      </c>
      <c r="E1384" s="7">
        <v>9.8383696416022397E-3</v>
      </c>
      <c r="AF1384" t="str">
        <v>Staff: Fuse (Original Story)</v>
      </c>
    </row>
    <row r="1385" spans="1:32" x14ac:dyDescent="0.3">
      <c r="A1385" t="s">
        <v>521</v>
      </c>
      <c r="B1385" s="5">
        <v>70</v>
      </c>
      <c r="C1385" s="9">
        <v>1</v>
      </c>
      <c r="D1385" s="6">
        <v>1.4054813773717499E-4</v>
      </c>
      <c r="E1385" s="7">
        <v>9.8383696416022397E-3</v>
      </c>
      <c r="AF1385" t="str">
        <v>Staff: Mitz Vah (Original Character Design)</v>
      </c>
    </row>
    <row r="1386" spans="1:32" x14ac:dyDescent="0.3">
      <c r="A1386" t="s">
        <v>522</v>
      </c>
      <c r="B1386" s="5">
        <v>70</v>
      </c>
      <c r="C1386" s="9">
        <v>1</v>
      </c>
      <c r="D1386" s="6">
        <v>1.4054813773717499E-4</v>
      </c>
      <c r="E1386" s="7">
        <v>9.8383696416022397E-3</v>
      </c>
      <c r="AF1386" t="str">
        <v>Staff: Yasuhito Kikuchi (Director)</v>
      </c>
    </row>
    <row r="1387" spans="1:32" x14ac:dyDescent="0.3">
      <c r="A1387" t="s">
        <v>523</v>
      </c>
      <c r="B1387" s="5">
        <v>70</v>
      </c>
      <c r="C1387" s="9">
        <v>1</v>
      </c>
      <c r="D1387" s="6">
        <v>1.4054813773717499E-4</v>
      </c>
      <c r="E1387" s="7">
        <v>9.8383696416022397E-3</v>
      </c>
      <c r="AF1387" t="str">
        <v>Staff: Ryouma Ebata (Character Design)</v>
      </c>
    </row>
    <row r="1388" spans="1:32" x14ac:dyDescent="0.3">
      <c r="A1388" t="s">
        <v>525</v>
      </c>
      <c r="B1388" s="5">
        <v>70</v>
      </c>
      <c r="C1388" s="9">
        <v>1</v>
      </c>
      <c r="D1388" s="6">
        <v>1.4054813773717499E-4</v>
      </c>
      <c r="E1388" s="7">
        <v>9.8383696416022397E-3</v>
      </c>
      <c r="AF1388" t="str">
        <v>Staff: Takuma Terashima (Theme Song Performance (OP))</v>
      </c>
    </row>
    <row r="1389" spans="1:32" x14ac:dyDescent="0.3">
      <c r="A1389" t="s">
        <v>530</v>
      </c>
      <c r="B1389" s="5">
        <v>70</v>
      </c>
      <c r="C1389" s="9">
        <v>1</v>
      </c>
      <c r="D1389" s="6">
        <v>1.4054813773717499E-4</v>
      </c>
      <c r="E1389" s="7">
        <v>9.8383696416022397E-3</v>
      </c>
      <c r="AF1389" t="str">
        <v>Staff: Miho Karasawa (Theme Song Performance (ED))</v>
      </c>
    </row>
    <row r="1390" spans="1:32" x14ac:dyDescent="0.3">
      <c r="A1390" t="s">
        <v>531</v>
      </c>
      <c r="B1390" s="5">
        <v>70</v>
      </c>
      <c r="C1390" s="9">
        <v>1</v>
      </c>
      <c r="D1390" s="6">
        <v>1.4054813773717499E-4</v>
      </c>
      <c r="E1390" s="7">
        <v>9.8383696416022397E-3</v>
      </c>
      <c r="AF1390" t="str">
        <v>Staff: Atsushi Nakayama (Assistant Director)</v>
      </c>
    </row>
    <row r="1391" spans="1:32" x14ac:dyDescent="0.3">
      <c r="A1391" t="s">
        <v>532</v>
      </c>
      <c r="B1391" s="5">
        <v>70</v>
      </c>
      <c r="C1391" s="9">
        <v>1</v>
      </c>
      <c r="D1391" s="6">
        <v>1.4054813773717499E-4</v>
      </c>
      <c r="E1391" s="7">
        <v>9.8383696416022397E-3</v>
      </c>
      <c r="AF1391" t="str">
        <v>Staff: Hidenori Kosuge (Animation producer)</v>
      </c>
    </row>
    <row r="1392" spans="1:32" x14ac:dyDescent="0.3">
      <c r="A1392" t="s">
        <v>533</v>
      </c>
      <c r="B1392" s="5">
        <v>70</v>
      </c>
      <c r="C1392" s="9">
        <v>1</v>
      </c>
      <c r="D1392" s="6">
        <v>1.4054813773717499E-4</v>
      </c>
      <c r="E1392" s="7">
        <v>9.8383696416022397E-3</v>
      </c>
      <c r="AF1392" t="str">
        <v>Staff: Ayumi Satou (Art Director)</v>
      </c>
    </row>
    <row r="1393" spans="1:32" x14ac:dyDescent="0.3">
      <c r="A1393" t="s">
        <v>535</v>
      </c>
      <c r="B1393" s="5">
        <v>70</v>
      </c>
      <c r="C1393" s="9">
        <v>1</v>
      </c>
      <c r="D1393" s="6">
        <v>1.4054813773717499E-4</v>
      </c>
      <c r="E1393" s="7">
        <v>9.8383696416022397E-3</v>
      </c>
      <c r="AF1393" t="str">
        <v>Staff: Miho Karasawa (Insert Song Performance (ep 23))</v>
      </c>
    </row>
    <row r="1394" spans="1:32" x14ac:dyDescent="0.3">
      <c r="A1394" t="s">
        <v>562</v>
      </c>
      <c r="B1394" s="5">
        <v>70</v>
      </c>
      <c r="C1394" s="9">
        <v>1</v>
      </c>
      <c r="D1394" s="6">
        <v>1.4054813773717499E-4</v>
      </c>
      <c r="E1394" s="7">
        <v>9.8383696416022397E-3</v>
      </c>
      <c r="AF1394" t="str">
        <v>Staff: Miho Karasawa (Insert Song Lyrics (ep 23))</v>
      </c>
    </row>
    <row r="1395" spans="1:32" x14ac:dyDescent="0.3">
      <c r="A1395" t="s">
        <v>563</v>
      </c>
      <c r="B1395" s="5">
        <v>70</v>
      </c>
      <c r="C1395" s="9">
        <v>1</v>
      </c>
      <c r="D1395" s="6">
        <v>1.4054813773717499E-4</v>
      </c>
      <c r="E1395" s="7">
        <v>9.8383696416022397E-3</v>
      </c>
      <c r="AF1395" t="str">
        <v>Staff: Miho Karasawa (Theme Song Lyrics (ED1))</v>
      </c>
    </row>
    <row r="1396" spans="1:32" x14ac:dyDescent="0.3">
      <c r="A1396" t="s">
        <v>564</v>
      </c>
      <c r="B1396" s="5">
        <v>70</v>
      </c>
      <c r="C1396" s="9">
        <v>1</v>
      </c>
      <c r="D1396" s="6">
        <v>1.4054813773717499E-4</v>
      </c>
      <c r="E1396" s="7">
        <v>9.8383696416022397E-3</v>
      </c>
      <c r="AF1396" t="str">
        <v>Staff: Taiki Kawakami (Original Story)</v>
      </c>
    </row>
    <row r="1397" spans="1:32" x14ac:dyDescent="0.3">
      <c r="A1397" t="s">
        <v>565</v>
      </c>
      <c r="B1397" s="5">
        <v>70</v>
      </c>
      <c r="C1397" s="9">
        <v>1</v>
      </c>
      <c r="D1397" s="6">
        <v>1.4054813773717499E-4</v>
      </c>
      <c r="E1397" s="7">
        <v>9.8383696416022397E-3</v>
      </c>
      <c r="AF1397" t="str">
        <v>Staff: Azusa Tadokoro (Theme Song Performance (ED))</v>
      </c>
    </row>
    <row r="1398" spans="1:32" x14ac:dyDescent="0.3">
      <c r="A1398" t="s">
        <v>566</v>
      </c>
      <c r="B1398" s="5">
        <v>70</v>
      </c>
      <c r="C1398" s="9">
        <v>1</v>
      </c>
      <c r="D1398" s="6">
        <v>1.4054813773717499E-4</v>
      </c>
      <c r="E1398" s="7">
        <v>9.8383696416022397E-3</v>
      </c>
      <c r="AF1398" t="str">
        <v>Staff: Elements Garden  (Music)</v>
      </c>
    </row>
    <row r="1399" spans="1:32" x14ac:dyDescent="0.3">
      <c r="A1399" t="s">
        <v>568</v>
      </c>
      <c r="B1399" s="5">
        <v>70</v>
      </c>
      <c r="C1399" s="9">
        <v>1</v>
      </c>
      <c r="D1399" s="6">
        <v>1.4054813773717499E-4</v>
      </c>
      <c r="E1399" s="7">
        <v>9.8383696416022397E-3</v>
      </c>
      <c r="AF1399" t="str">
        <v>Staff: Roberto Gutiérrez (ADR Director (Latin American Spanish))</v>
      </c>
    </row>
    <row r="1400" spans="1:32" x14ac:dyDescent="0.3">
      <c r="A1400" t="s">
        <v>569</v>
      </c>
      <c r="B1400" s="5">
        <v>70</v>
      </c>
      <c r="C1400" s="9">
        <v>1</v>
      </c>
      <c r="D1400" s="6">
        <v>1.4054813773717499E-4</v>
      </c>
      <c r="E1400" s="7">
        <v>9.8383696416022397E-3</v>
      </c>
      <c r="AF1400" t="str">
        <v>Staff: Clifford Chapin (ADR Director (English))</v>
      </c>
    </row>
    <row r="1401" spans="1:32" x14ac:dyDescent="0.3">
      <c r="A1401" t="s">
        <v>570</v>
      </c>
      <c r="B1401" s="5">
        <v>70</v>
      </c>
      <c r="C1401" s="9">
        <v>1</v>
      </c>
      <c r="D1401" s="6">
        <v>1.4054813773717499E-4</v>
      </c>
      <c r="E1401" s="7">
        <v>9.8383696416022397E-3</v>
      </c>
      <c r="AF1401" t="str">
        <v>Staff: Austin Sisk (ADR Engineer (English))</v>
      </c>
    </row>
    <row r="1402" spans="1:32" x14ac:dyDescent="0.3">
      <c r="A1402" t="s">
        <v>571</v>
      </c>
      <c r="B1402" s="5">
        <v>70</v>
      </c>
      <c r="C1402" s="9">
        <v>1</v>
      </c>
      <c r="D1402" s="6">
        <v>1.4054813773717499E-4</v>
      </c>
      <c r="E1402" s="7">
        <v>9.8383696416022397E-3</v>
      </c>
      <c r="AF1402" t="str">
        <v>Staff: Adrian Cook (Mix Engineer (English))</v>
      </c>
    </row>
    <row r="1403" spans="1:32" x14ac:dyDescent="0.3">
      <c r="A1403" t="s">
        <v>572</v>
      </c>
      <c r="B1403" s="5">
        <v>70</v>
      </c>
      <c r="C1403" s="9">
        <v>1</v>
      </c>
      <c r="D1403" s="6">
        <v>1.4054813773717499E-4</v>
      </c>
      <c r="E1403" s="7">
        <v>9.8383696416022397E-3</v>
      </c>
      <c r="AF1403" t="str">
        <v>Staff: Peter Hawkinson (ADR Engineer (English))</v>
      </c>
    </row>
    <row r="1404" spans="1:32" x14ac:dyDescent="0.3">
      <c r="A1404" t="s">
        <v>573</v>
      </c>
      <c r="B1404" s="5">
        <v>70</v>
      </c>
      <c r="C1404" s="9">
        <v>1</v>
      </c>
      <c r="D1404" s="6">
        <v>1.4054813773717499E-4</v>
      </c>
      <c r="E1404" s="7">
        <v>9.8383696416022397E-3</v>
      </c>
      <c r="AF1404" t="str">
        <v>Staff: Brittany Lauda (Assistant ADR Director (English; eps 6-11))</v>
      </c>
    </row>
    <row r="1405" spans="1:32" x14ac:dyDescent="0.3">
      <c r="A1405" t="s">
        <v>574</v>
      </c>
      <c r="B1405" s="5">
        <v>70</v>
      </c>
      <c r="C1405" s="9">
        <v>1</v>
      </c>
      <c r="D1405" s="6">
        <v>1.4054813773717499E-4</v>
      </c>
      <c r="E1405" s="7">
        <v>9.8383696416022397E-3</v>
      </c>
      <c r="AF1405" t="str">
        <v>Staff: BRATS (Theme Song Performance (OP))</v>
      </c>
    </row>
    <row r="1406" spans="1:32" x14ac:dyDescent="0.3">
      <c r="A1406" t="s">
        <v>575</v>
      </c>
      <c r="B1406" s="5">
        <v>70</v>
      </c>
      <c r="C1406" s="9">
        <v>1</v>
      </c>
      <c r="D1406" s="6">
        <v>1.4054813773717499E-4</v>
      </c>
      <c r="E1406" s="7">
        <v>9.8383696416022397E-3</v>
      </c>
      <c r="AF1406" t="str">
        <v>Staff: Haoling Li (Director)</v>
      </c>
    </row>
    <row r="1407" spans="1:32" x14ac:dyDescent="0.3">
      <c r="A1407" t="s">
        <v>577</v>
      </c>
      <c r="B1407" s="5">
        <v>70</v>
      </c>
      <c r="C1407" s="9">
        <v>1</v>
      </c>
      <c r="D1407" s="6">
        <v>1.4054813773717499E-4</v>
      </c>
      <c r="E1407" s="7">
        <v>9.8383696416022397E-3</v>
      </c>
      <c r="AF1407" t="str">
        <v>Staff: Haoling Li (Series Composition)</v>
      </c>
    </row>
    <row r="1408" spans="1:32" x14ac:dyDescent="0.3">
      <c r="A1408" t="s">
        <v>578</v>
      </c>
      <c r="B1408" s="5">
        <v>70</v>
      </c>
      <c r="C1408" s="9">
        <v>1</v>
      </c>
      <c r="D1408" s="6">
        <v>1.4054813773717499E-4</v>
      </c>
      <c r="E1408" s="7">
        <v>9.8383696416022397E-3</v>
      </c>
      <c r="AF1408" t="str">
        <v>Staff: LAN (Character Design)</v>
      </c>
    </row>
    <row r="1409" spans="1:32" x14ac:dyDescent="0.3">
      <c r="A1409" t="s">
        <v>580</v>
      </c>
      <c r="B1409" s="5">
        <v>70</v>
      </c>
      <c r="C1409" s="9">
        <v>1</v>
      </c>
      <c r="D1409" s="6">
        <v>1.4054813773717499E-4</v>
      </c>
      <c r="E1409" s="7">
        <v>9.8383696416022397E-3</v>
      </c>
      <c r="AF1409" t="str">
        <v>Staff: LAN (Color Design)</v>
      </c>
    </row>
    <row r="1410" spans="1:32" x14ac:dyDescent="0.3">
      <c r="A1410" t="s">
        <v>582</v>
      </c>
      <c r="B1410" s="5">
        <v>70</v>
      </c>
      <c r="C1410" s="9">
        <v>1</v>
      </c>
      <c r="D1410" s="6">
        <v>1.4054813773717499E-4</v>
      </c>
      <c r="E1410" s="7">
        <v>9.8383696416022397E-3</v>
      </c>
      <c r="AF1410" t="str">
        <v>Staff: Haoling Li (Storyboard)</v>
      </c>
    </row>
    <row r="1411" spans="1:32" x14ac:dyDescent="0.3">
      <c r="A1411" t="s">
        <v>584</v>
      </c>
      <c r="B1411" s="5">
        <v>70</v>
      </c>
      <c r="C1411" s="9">
        <v>1</v>
      </c>
      <c r="D1411" s="6">
        <v>1.4054813773717499E-4</v>
      </c>
      <c r="E1411" s="7">
        <v>9.8383696416022397E-3</v>
      </c>
      <c r="AF1411" t="str">
        <v>Staff: LAN (Chief Animation Director)</v>
      </c>
    </row>
    <row r="1412" spans="1:32" x14ac:dyDescent="0.3">
      <c r="A1412" t="s">
        <v>585</v>
      </c>
      <c r="B1412" s="5">
        <v>70</v>
      </c>
      <c r="C1412" s="9">
        <v>1</v>
      </c>
      <c r="D1412" s="6">
        <v>1.4054813773717499E-4</v>
      </c>
      <c r="E1412" s="7">
        <v>9.8383696416022397E-3</v>
      </c>
      <c r="AF1412" t="str">
        <v>Staff: Haoling Li (Script)</v>
      </c>
    </row>
    <row r="1413" spans="1:32" x14ac:dyDescent="0.3">
      <c r="A1413" t="s">
        <v>586</v>
      </c>
      <c r="B1413" s="5">
        <v>70</v>
      </c>
      <c r="C1413" s="9">
        <v>1</v>
      </c>
      <c r="D1413" s="6">
        <v>1.4054813773717499E-4</v>
      </c>
      <c r="E1413" s="7">
        <v>9.8383696416022397E-3</v>
      </c>
      <c r="AF1413" t="str">
        <v>Staff: Haoling Li (Original Creator)</v>
      </c>
    </row>
    <row r="1414" spans="1:32" x14ac:dyDescent="0.3">
      <c r="A1414" t="s">
        <v>587</v>
      </c>
      <c r="B1414" s="5">
        <v>70</v>
      </c>
      <c r="C1414" s="9">
        <v>1</v>
      </c>
      <c r="D1414" s="6">
        <v>1.4054813773717499E-4</v>
      </c>
      <c r="E1414" s="7">
        <v>9.8383696416022397E-3</v>
      </c>
      <c r="AF1414" t="str">
        <v>Staff: LAN (Art Design)</v>
      </c>
    </row>
    <row r="1415" spans="1:32" x14ac:dyDescent="0.3">
      <c r="A1415" t="s">
        <v>591</v>
      </c>
      <c r="B1415" s="5">
        <v>70</v>
      </c>
      <c r="C1415" s="9">
        <v>1</v>
      </c>
      <c r="D1415" s="6">
        <v>1.4054813773717499E-4</v>
      </c>
      <c r="E1415" s="7">
        <v>9.8383696416022397E-3</v>
      </c>
      <c r="AF1415" t="str">
        <v>Staff: Sui Ishida (Original Creator)</v>
      </c>
    </row>
    <row r="1416" spans="1:32" x14ac:dyDescent="0.3">
      <c r="A1416" t="s">
        <v>592</v>
      </c>
      <c r="B1416" s="5">
        <v>70</v>
      </c>
      <c r="C1416" s="9">
        <v>1</v>
      </c>
      <c r="D1416" s="6">
        <v>1.4054813773717499E-4</v>
      </c>
      <c r="E1416" s="7">
        <v>9.8383696416022397E-3</v>
      </c>
      <c r="AF1416" t="str">
        <v>Staff: Shuuhei Morita (Director)</v>
      </c>
    </row>
    <row r="1417" spans="1:32" x14ac:dyDescent="0.3">
      <c r="A1417" t="s">
        <v>594</v>
      </c>
      <c r="B1417" s="5">
        <v>70</v>
      </c>
      <c r="C1417" s="9">
        <v>1</v>
      </c>
      <c r="D1417" s="6">
        <v>1.4054813773717499E-4</v>
      </c>
      <c r="E1417" s="7">
        <v>9.8383696416022397E-3</v>
      </c>
      <c r="AF1417" t="str">
        <v>Staff: Yutaka Yamada (Music)</v>
      </c>
    </row>
    <row r="1418" spans="1:32" x14ac:dyDescent="0.3">
      <c r="A1418" t="s">
        <v>596</v>
      </c>
      <c r="B1418" s="5">
        <v>70</v>
      </c>
      <c r="C1418" s="9">
        <v>1</v>
      </c>
      <c r="D1418" s="6">
        <v>1.4054813773717499E-4</v>
      </c>
      <c r="E1418" s="7">
        <v>9.8383696416022397E-3</v>
      </c>
      <c r="AF1418" t="str">
        <v>Staff: Tooru Kitajima (Theme Song Performance (OP))</v>
      </c>
    </row>
    <row r="1419" spans="1:32" x14ac:dyDescent="0.3">
      <c r="A1419" t="s">
        <v>597</v>
      </c>
      <c r="B1419" s="5">
        <v>70</v>
      </c>
      <c r="C1419" s="9">
        <v>1</v>
      </c>
      <c r="D1419" s="6">
        <v>1.4054813773717499E-4</v>
      </c>
      <c r="E1419" s="7">
        <v>9.8383696416022397E-3</v>
      </c>
      <c r="AF1419" t="str">
        <v>Staff: Yoshiaki Kyougoku (Storyboard (eps 5, 9))</v>
      </c>
    </row>
    <row r="1420" spans="1:32" x14ac:dyDescent="0.3">
      <c r="A1420" t="s">
        <v>598</v>
      </c>
      <c r="B1420" s="5">
        <v>70</v>
      </c>
      <c r="C1420" s="9">
        <v>1</v>
      </c>
      <c r="D1420" s="6">
        <v>1.4054813773717499E-4</v>
      </c>
      <c r="E1420" s="7">
        <v>9.8383696416022397E-3</v>
      </c>
      <c r="AF1420" t="str">
        <v>Staff: Yoshiaki Kyougoku (Episode Director (eps 5, 9))</v>
      </c>
    </row>
    <row r="1421" spans="1:32" x14ac:dyDescent="0.3">
      <c r="A1421" t="s">
        <v>605</v>
      </c>
      <c r="B1421" s="5">
        <v>70</v>
      </c>
      <c r="C1421" s="9">
        <v>1</v>
      </c>
      <c r="D1421" s="6">
        <v>1.4054813773717499E-4</v>
      </c>
      <c r="E1421" s="7">
        <v>9.8383696416022397E-3</v>
      </c>
      <c r="AF1421" t="str">
        <v>Staff: Kazuhiro Miwa (Character Design)</v>
      </c>
    </row>
    <row r="1422" spans="1:32" x14ac:dyDescent="0.3">
      <c r="A1422" t="s">
        <v>620</v>
      </c>
      <c r="B1422" s="5">
        <v>70</v>
      </c>
      <c r="C1422" s="9">
        <v>1</v>
      </c>
      <c r="D1422" s="6">
        <v>1.4054813773717499E-4</v>
      </c>
      <c r="E1422" s="7">
        <v>9.8383696416022397E-3</v>
      </c>
      <c r="AF1422" t="str">
        <v>Staff: Kazuhiro Miwa (Animation Director (OP, ep 1))</v>
      </c>
    </row>
    <row r="1423" spans="1:32" x14ac:dyDescent="0.3">
      <c r="A1423" t="s">
        <v>624</v>
      </c>
      <c r="B1423" s="5">
        <v>70</v>
      </c>
      <c r="C1423" s="9">
        <v>1</v>
      </c>
      <c r="D1423" s="6">
        <v>1.4054813773717499E-4</v>
      </c>
      <c r="E1423" s="7">
        <v>9.8383696416022397E-3</v>
      </c>
      <c r="AF1423" t="str">
        <v>Staff: Kazuhiro Miwa (Key Animation (ep 1))</v>
      </c>
    </row>
    <row r="1424" spans="1:32" x14ac:dyDescent="0.3">
      <c r="A1424" t="s">
        <v>632</v>
      </c>
      <c r="B1424" s="5">
        <v>70</v>
      </c>
      <c r="C1424" s="9">
        <v>1</v>
      </c>
      <c r="D1424" s="6">
        <v>1.4054813773717499E-4</v>
      </c>
      <c r="E1424" s="7">
        <v>9.8383696416022397E-3</v>
      </c>
      <c r="AF1424" t="str">
        <v>Staff: Chuuji Mikasano (Series Composition)</v>
      </c>
    </row>
    <row r="1425" spans="1:32" x14ac:dyDescent="0.3">
      <c r="A1425" t="s">
        <v>637</v>
      </c>
      <c r="B1425" s="5">
        <v>70</v>
      </c>
      <c r="C1425" s="9">
        <v>1</v>
      </c>
      <c r="D1425" s="6">
        <v>1.4054813773717499E-4</v>
      </c>
      <c r="E1425" s="7">
        <v>9.8383696416022397E-3</v>
      </c>
      <c r="AF1425" t="str">
        <v>Staff: Aaron Dismuke (Script (English))</v>
      </c>
    </row>
    <row r="1426" spans="1:32" x14ac:dyDescent="0.3">
      <c r="A1426" t="s">
        <v>638</v>
      </c>
      <c r="B1426" s="5">
        <v>70</v>
      </c>
      <c r="C1426" s="9">
        <v>1</v>
      </c>
      <c r="D1426" s="6">
        <v>1.4054813773717499E-4</v>
      </c>
      <c r="E1426" s="7">
        <v>9.8383696416022397E-3</v>
      </c>
      <c r="AF1426" t="str">
        <v>Staff: Josh Grelle (Script (English))</v>
      </c>
    </row>
    <row r="1427" spans="1:32" x14ac:dyDescent="0.3">
      <c r="A1427" t="s">
        <v>639</v>
      </c>
      <c r="B1427" s="5">
        <v>70</v>
      </c>
      <c r="C1427" s="9">
        <v>1</v>
      </c>
      <c r="D1427" s="6">
        <v>1.4054813773717499E-4</v>
      </c>
      <c r="E1427" s="7">
        <v>9.8383696416022397E-3</v>
      </c>
      <c r="AF1427" t="str">
        <v>Staff: Monica Rial (Script (English))</v>
      </c>
    </row>
    <row r="1428" spans="1:32" x14ac:dyDescent="0.3">
      <c r="A1428" t="s">
        <v>640</v>
      </c>
      <c r="B1428" s="5">
        <v>70</v>
      </c>
      <c r="C1428" s="9">
        <v>1</v>
      </c>
      <c r="D1428" s="6">
        <v>1.4054813773717499E-4</v>
      </c>
      <c r="E1428" s="7">
        <v>9.8383696416022397E-3</v>
      </c>
      <c r="AF1428" t="str">
        <v>Staff: People in the Box  (Theme Song Performance (ED))</v>
      </c>
    </row>
    <row r="1429" spans="1:32" x14ac:dyDescent="0.3">
      <c r="A1429" t="s">
        <v>642</v>
      </c>
      <c r="B1429" s="5">
        <v>70</v>
      </c>
      <c r="C1429" s="9">
        <v>1</v>
      </c>
      <c r="D1429" s="6">
        <v>1.4054813773717499E-4</v>
      </c>
      <c r="E1429" s="7">
        <v>9.8383696416022397E-3</v>
      </c>
      <c r="AF1429" t="str">
        <v>Staff: Yoshihiro Sono (Set Design)</v>
      </c>
    </row>
    <row r="1430" spans="1:32" x14ac:dyDescent="0.3">
      <c r="A1430" t="s">
        <v>643</v>
      </c>
      <c r="B1430" s="5">
        <v>70</v>
      </c>
      <c r="C1430" s="9">
        <v>1</v>
      </c>
      <c r="D1430" s="6">
        <v>1.4054813773717499E-4</v>
      </c>
      <c r="E1430" s="7">
        <v>9.8383696416022397E-3</v>
      </c>
      <c r="AF1430" t="str">
        <v>Staff: Ryota-H (Art Design)</v>
      </c>
    </row>
    <row r="1431" spans="1:32" x14ac:dyDescent="0.3">
      <c r="A1431" t="s">
        <v>644</v>
      </c>
      <c r="B1431" s="5">
        <v>70</v>
      </c>
      <c r="C1431" s="9">
        <v>1</v>
      </c>
      <c r="D1431" s="6">
        <v>1.4054813773717499E-4</v>
      </c>
      <c r="E1431" s="7">
        <v>9.8383696416022397E-3</v>
      </c>
      <c r="AF1431" t="str">
        <v>Staff: Yoshihiro Sono (Art Design)</v>
      </c>
    </row>
    <row r="1432" spans="1:32" x14ac:dyDescent="0.3">
      <c r="A1432" t="s">
        <v>645</v>
      </c>
      <c r="B1432" s="5">
        <v>70</v>
      </c>
      <c r="C1432" s="9">
        <v>1</v>
      </c>
      <c r="D1432" s="6">
        <v>1.4054813773717499E-4</v>
      </c>
      <c r="E1432" s="7">
        <v>9.8383696416022397E-3</v>
      </c>
      <c r="AF1432" t="str">
        <v>Staff: Ryota-H (Set Design)</v>
      </c>
    </row>
    <row r="1433" spans="1:32" x14ac:dyDescent="0.3">
      <c r="A1433" t="s">
        <v>646</v>
      </c>
      <c r="B1433" s="5">
        <v>70</v>
      </c>
      <c r="C1433" s="9">
        <v>1</v>
      </c>
      <c r="D1433" s="6">
        <v>1.4054813773717499E-4</v>
      </c>
      <c r="E1433" s="7">
        <v>9.8383696416022397E-3</v>
      </c>
      <c r="AF1433" t="str">
        <v>Staff: Narihito Sekikawa (Prop Design)</v>
      </c>
    </row>
    <row r="1434" spans="1:32" x14ac:dyDescent="0.3">
      <c r="A1434" t="s">
        <v>647</v>
      </c>
      <c r="B1434" s="5">
        <v>70</v>
      </c>
      <c r="C1434" s="9">
        <v>1</v>
      </c>
      <c r="D1434" s="6">
        <v>1.4054813773717499E-4</v>
      </c>
      <c r="E1434" s="7">
        <v>9.8383696416022397E-3</v>
      </c>
      <c r="AF1434" t="str">
        <v>Staff: Katsuya Yamada (Set Design)</v>
      </c>
    </row>
    <row r="1435" spans="1:32" x14ac:dyDescent="0.3">
      <c r="A1435" t="s">
        <v>648</v>
      </c>
      <c r="B1435" s="5">
        <v>70</v>
      </c>
      <c r="C1435" s="9">
        <v>1</v>
      </c>
      <c r="D1435" s="6">
        <v>1.4054813773717499E-4</v>
      </c>
      <c r="E1435" s="7">
        <v>9.8383696416022397E-3</v>
      </c>
      <c r="AF1435" t="str">
        <v>Staff: Masatoshi Mutou (Art Director)</v>
      </c>
    </row>
    <row r="1436" spans="1:32" x14ac:dyDescent="0.3">
      <c r="A1436" t="s">
        <v>649</v>
      </c>
      <c r="B1436" s="5">
        <v>70</v>
      </c>
      <c r="C1436" s="9">
        <v>1</v>
      </c>
      <c r="D1436" s="6">
        <v>1.4054813773717499E-4</v>
      </c>
      <c r="E1436" s="7">
        <v>9.8383696416022397E-3</v>
      </c>
      <c r="AF1436" t="str">
        <v>Staff: Katsuya Yamada (Art Design)</v>
      </c>
    </row>
    <row r="1437" spans="1:32" x14ac:dyDescent="0.3">
      <c r="A1437" t="s">
        <v>650</v>
      </c>
      <c r="B1437" s="5">
        <v>70</v>
      </c>
      <c r="C1437" s="9">
        <v>1</v>
      </c>
      <c r="D1437" s="6">
        <v>1.4054813773717499E-4</v>
      </c>
      <c r="E1437" s="7">
        <v>9.8383696416022397E-3</v>
      </c>
      <c r="AF1437" t="str">
        <v>Staff: Noboru Haraguchi (Sound Director)</v>
      </c>
    </row>
    <row r="1438" spans="1:32" x14ac:dyDescent="0.3">
      <c r="A1438" t="s">
        <v>652</v>
      </c>
      <c r="B1438" s="5">
        <v>70</v>
      </c>
      <c r="C1438" s="9">
        <v>1</v>
      </c>
      <c r="D1438" s="6">
        <v>1.4054813773717499E-4</v>
      </c>
      <c r="E1438" s="7">
        <v>9.8383696416022397E-3</v>
      </c>
      <c r="AF1438" t="str">
        <v>Staff: Toshiya Wakabayashi (Original Creator)</v>
      </c>
    </row>
    <row r="1439" spans="1:32" x14ac:dyDescent="0.3">
      <c r="A1439" t="s">
        <v>674</v>
      </c>
      <c r="B1439" s="5">
        <v>70</v>
      </c>
      <c r="C1439" s="9">
        <v>1</v>
      </c>
      <c r="D1439" s="6">
        <v>1.4054813773717499E-4</v>
      </c>
      <c r="E1439" s="7">
        <v>9.8383696416022397E-3</v>
      </c>
      <c r="AF1439" t="str">
        <v>Staff: Hiraku Kaneko (Director)</v>
      </c>
    </row>
    <row r="1440" spans="1:32" x14ac:dyDescent="0.3">
      <c r="A1440" t="s">
        <v>676</v>
      </c>
      <c r="B1440" s="5">
        <v>70</v>
      </c>
      <c r="C1440" s="9">
        <v>1</v>
      </c>
      <c r="D1440" s="6">
        <v>1.4054813773717499E-4</v>
      </c>
      <c r="E1440" s="7">
        <v>9.8383696416022397E-3</v>
      </c>
      <c r="AF1440" t="str">
        <v>Staff: Tatsuhiko Urahata (Series Composition)</v>
      </c>
    </row>
    <row r="1441" spans="1:32" x14ac:dyDescent="0.3">
      <c r="A1441" t="s">
        <v>677</v>
      </c>
      <c r="B1441" s="5">
        <v>70</v>
      </c>
      <c r="C1441" s="9">
        <v>1</v>
      </c>
      <c r="D1441" s="6">
        <v>1.4054813773717499E-4</v>
      </c>
      <c r="E1441" s="7">
        <v>9.8383696416022397E-3</v>
      </c>
      <c r="AF1441" t="str">
        <v>Staff: Inori Minase (Theme Song Performance (OP))</v>
      </c>
    </row>
    <row r="1442" spans="1:32" x14ac:dyDescent="0.3">
      <c r="A1442" t="s">
        <v>678</v>
      </c>
      <c r="B1442" s="5">
        <v>70</v>
      </c>
      <c r="C1442" s="9">
        <v>1</v>
      </c>
      <c r="D1442" s="6">
        <v>1.4054813773717499E-4</v>
      </c>
      <c r="E1442" s="7">
        <v>9.8383696416022397E-3</v>
      </c>
      <c r="AF1442" t="str">
        <v>Staff: Yui Ogura (Theme Song Performance (ED))</v>
      </c>
    </row>
    <row r="1443" spans="1:32" x14ac:dyDescent="0.3">
      <c r="A1443" t="s">
        <v>679</v>
      </c>
      <c r="B1443" s="5">
        <v>70</v>
      </c>
      <c r="C1443" s="9">
        <v>1</v>
      </c>
      <c r="D1443" s="6">
        <v>1.4054813773717499E-4</v>
      </c>
      <c r="E1443" s="7">
        <v>9.8383696416022397E-3</v>
      </c>
      <c r="AF1443" t="str">
        <v>Staff: Etsuko Sumimoto (Character Design)</v>
      </c>
    </row>
    <row r="1444" spans="1:32" x14ac:dyDescent="0.3">
      <c r="A1444" t="s">
        <v>680</v>
      </c>
      <c r="B1444" s="5">
        <v>70</v>
      </c>
      <c r="C1444" s="9">
        <v>1</v>
      </c>
      <c r="D1444" s="6">
        <v>1.4054813773717499E-4</v>
      </c>
      <c r="E1444" s="7">
        <v>9.8383696416022397E-3</v>
      </c>
      <c r="AF1444" t="str">
        <v>Staff: Tenmon  (Music)</v>
      </c>
    </row>
    <row r="1445" spans="1:32" x14ac:dyDescent="0.3">
      <c r="A1445" t="s">
        <v>681</v>
      </c>
      <c r="B1445" s="5">
        <v>70</v>
      </c>
      <c r="C1445" s="9">
        <v>1</v>
      </c>
      <c r="D1445" s="6">
        <v>1.4054813773717499E-4</v>
      </c>
      <c r="E1445" s="7">
        <v>9.8383696416022397E-3</v>
      </c>
      <c r="AF1445" t="str">
        <v>Staff: Etsuko Sumimoto (Chief Animation Director)</v>
      </c>
    </row>
    <row r="1446" spans="1:32" x14ac:dyDescent="0.3">
      <c r="A1446" t="s">
        <v>682</v>
      </c>
      <c r="B1446" s="5">
        <v>70</v>
      </c>
      <c r="C1446" s="9">
        <v>1</v>
      </c>
      <c r="D1446" s="6">
        <v>1.4054813773717499E-4</v>
      </c>
      <c r="E1446" s="7">
        <v>9.8383696416022397E-3</v>
      </c>
      <c r="AF1446" t="str">
        <v>Staff: Akinori Fudesaka (Assistant Director)</v>
      </c>
    </row>
    <row r="1447" spans="1:32" x14ac:dyDescent="0.3">
      <c r="A1447" t="s">
        <v>683</v>
      </c>
      <c r="B1447" s="5">
        <v>70</v>
      </c>
      <c r="C1447" s="9">
        <v>1</v>
      </c>
      <c r="D1447" s="6">
        <v>1.4054813773717499E-4</v>
      </c>
      <c r="E1447" s="7">
        <v>9.8383696416022397E-3</v>
      </c>
      <c r="AF1447" t="str">
        <v>Staff: Masaru Satou (Background Art)</v>
      </c>
    </row>
    <row r="1448" spans="1:32" x14ac:dyDescent="0.3">
      <c r="A1448" t="s">
        <v>734</v>
      </c>
      <c r="B1448" s="5">
        <v>70</v>
      </c>
      <c r="C1448" s="9">
        <v>1</v>
      </c>
      <c r="D1448" s="6">
        <v>1.4054813773717499E-4</v>
      </c>
      <c r="E1448" s="7">
        <v>9.8383696416022397E-3</v>
      </c>
      <c r="AF1448" t="str">
        <v>Staff: Tatsuya  Ishiguro (Producer)</v>
      </c>
    </row>
    <row r="1449" spans="1:32" x14ac:dyDescent="0.3">
      <c r="A1449" t="s">
        <v>735</v>
      </c>
      <c r="B1449" s="5">
        <v>70</v>
      </c>
      <c r="C1449" s="9">
        <v>1</v>
      </c>
      <c r="D1449" s="6">
        <v>1.4054813773717499E-4</v>
      </c>
      <c r="E1449" s="7">
        <v>9.8383696416022397E-3</v>
      </c>
      <c r="AF1449" t="str">
        <v>Staff: Kazuhiro Asao (Planning)</v>
      </c>
    </row>
    <row r="1450" spans="1:32" x14ac:dyDescent="0.3">
      <c r="A1450" t="s">
        <v>741</v>
      </c>
      <c r="B1450" s="5">
        <v>70</v>
      </c>
      <c r="C1450" s="9">
        <v>1</v>
      </c>
      <c r="D1450" s="6">
        <v>1.4054813773717499E-4</v>
      </c>
      <c r="E1450" s="7">
        <v>9.8383696416022397E-3</v>
      </c>
      <c r="AF1450" t="str">
        <v>Staff: Kensuke Tateishi (Planning)</v>
      </c>
    </row>
    <row r="1451" spans="1:32" x14ac:dyDescent="0.3">
      <c r="A1451" t="s">
        <v>743</v>
      </c>
      <c r="B1451" s="5">
        <v>70</v>
      </c>
      <c r="C1451" s="9">
        <v>1</v>
      </c>
      <c r="D1451" s="6">
        <v>1.4054813773717499E-4</v>
      </c>
      <c r="E1451" s="7">
        <v>9.8383696416022397E-3</v>
      </c>
      <c r="AF1451" t="str">
        <v>Staff: Eri Suzuki (Color Design)</v>
      </c>
    </row>
    <row r="1452" spans="1:32" x14ac:dyDescent="0.3">
      <c r="A1452" t="s">
        <v>761</v>
      </c>
      <c r="B1452" s="5">
        <v>70</v>
      </c>
      <c r="C1452" s="9">
        <v>1</v>
      </c>
      <c r="D1452" s="6">
        <v>1.4054813773717499E-4</v>
      </c>
      <c r="E1452" s="7">
        <v>9.8383696416022397E-3</v>
      </c>
      <c r="AF1452" t="str">
        <v>Staff: Noriyuki Akita (Associate Producer)</v>
      </c>
    </row>
    <row r="1453" spans="1:32" x14ac:dyDescent="0.3">
      <c r="A1453" t="s">
        <v>762</v>
      </c>
      <c r="B1453" s="5">
        <v>70</v>
      </c>
      <c r="C1453" s="9">
        <v>1</v>
      </c>
      <c r="D1453" s="6">
        <v>1.4054813773717499E-4</v>
      </c>
      <c r="E1453" s="7">
        <v>9.8383696416022397E-3</v>
      </c>
      <c r="AF1453" t="str">
        <v>Staff: Takuya Matsushita (Chief Producer)</v>
      </c>
    </row>
    <row r="1454" spans="1:32" x14ac:dyDescent="0.3">
      <c r="A1454" t="s">
        <v>763</v>
      </c>
      <c r="B1454" s="5">
        <v>70</v>
      </c>
      <c r="C1454" s="9">
        <v>1</v>
      </c>
      <c r="D1454" s="6">
        <v>1.4054813773717499E-4</v>
      </c>
      <c r="E1454" s="7">
        <v>9.8383696416022397E-3</v>
      </c>
      <c r="AF1454" t="str">
        <v>Staff: Shinya Katou (Director of Photography)</v>
      </c>
    </row>
    <row r="1455" spans="1:32" x14ac:dyDescent="0.3">
      <c r="A1455" t="s">
        <v>765</v>
      </c>
      <c r="B1455" s="5">
        <v>70</v>
      </c>
      <c r="C1455" s="9">
        <v>1</v>
      </c>
      <c r="D1455" s="6">
        <v>1.4054813773717499E-4</v>
      </c>
      <c r="E1455" s="7">
        <v>9.8383696416022397E-3</v>
      </c>
      <c r="AF1455" t="str">
        <v>Staff: Gouta Aijima (Producer)</v>
      </c>
    </row>
    <row r="1456" spans="1:32" x14ac:dyDescent="0.3">
      <c r="A1456" t="s">
        <v>769</v>
      </c>
      <c r="B1456" s="5">
        <v>70</v>
      </c>
      <c r="C1456" s="9">
        <v>1</v>
      </c>
      <c r="D1456" s="6">
        <v>1.4054813773717499E-4</v>
      </c>
      <c r="E1456" s="7">
        <v>9.8383696416022397E-3</v>
      </c>
      <c r="AF1456" t="str">
        <v>Staff: Shinya Katou (Photography)</v>
      </c>
    </row>
    <row r="1457" spans="1:32" x14ac:dyDescent="0.3">
      <c r="A1457" t="s">
        <v>770</v>
      </c>
      <c r="B1457" s="5">
        <v>70</v>
      </c>
      <c r="C1457" s="9">
        <v>1</v>
      </c>
      <c r="D1457" s="6">
        <v>1.4054813773717499E-4</v>
      </c>
      <c r="E1457" s="7">
        <v>9.8383696416022397E-3</v>
      </c>
      <c r="AF1457" t="str">
        <v>Staff: Kazuya Miura (Director)</v>
      </c>
    </row>
    <row r="1458" spans="1:32" x14ac:dyDescent="0.3">
      <c r="A1458" t="s">
        <v>771</v>
      </c>
      <c r="B1458" s="5">
        <v>70</v>
      </c>
      <c r="C1458" s="9">
        <v>1</v>
      </c>
      <c r="D1458" s="6">
        <v>1.4054813773717499E-4</v>
      </c>
      <c r="E1458" s="7">
        <v>9.8383696416022397E-3</v>
      </c>
      <c r="AF1458" t="str">
        <v>Staff: Manabu Kurihara (Character Design)</v>
      </c>
    </row>
    <row r="1459" spans="1:32" x14ac:dyDescent="0.3">
      <c r="A1459" t="s">
        <v>772</v>
      </c>
      <c r="B1459" s="5">
        <v>70</v>
      </c>
      <c r="C1459" s="9">
        <v>1</v>
      </c>
      <c r="D1459" s="6">
        <v>1.4054813773717499E-4</v>
      </c>
      <c r="E1459" s="7">
        <v>9.8383696416022397E-3</v>
      </c>
      <c r="AF1459" t="str">
        <v>Staff: Take (Original Creator)</v>
      </c>
    </row>
    <row r="1460" spans="1:32" x14ac:dyDescent="0.3">
      <c r="A1460" t="s">
        <v>774</v>
      </c>
      <c r="B1460" s="5">
        <v>70</v>
      </c>
      <c r="C1460" s="9">
        <v>1</v>
      </c>
      <c r="D1460" s="6">
        <v>1.4054813773717499E-4</v>
      </c>
      <c r="E1460" s="7">
        <v>9.8383696416022397E-3</v>
      </c>
      <c r="AF1460" t="str">
        <v>Staff: YuNi  (Theme Song Performance (ED))</v>
      </c>
    </row>
    <row r="1461" spans="1:32" x14ac:dyDescent="0.3">
      <c r="A1461" t="s">
        <v>781</v>
      </c>
      <c r="B1461" s="5">
        <v>70</v>
      </c>
      <c r="C1461" s="9">
        <v>1</v>
      </c>
      <c r="D1461" s="6">
        <v>1.4054813773717499E-4</v>
      </c>
      <c r="E1461" s="7">
        <v>9.8383696416022397E-3</v>
      </c>
      <c r="AF1461" t="str">
        <v>Staff: YUC'e (Theme Song Lyrics (ED))</v>
      </c>
    </row>
    <row r="1462" spans="1:32" x14ac:dyDescent="0.3">
      <c r="A1462" t="s">
        <v>782</v>
      </c>
      <c r="B1462" s="5">
        <v>70</v>
      </c>
      <c r="C1462" s="9">
        <v>1</v>
      </c>
      <c r="D1462" s="6">
        <v>1.4054813773717499E-4</v>
      </c>
      <c r="E1462" s="7">
        <v>9.8383696416022397E-3</v>
      </c>
      <c r="AF1462" t="str">
        <v>Staff: YUC'e (Theme Song Arrangement (ED))</v>
      </c>
    </row>
    <row r="1463" spans="1:32" x14ac:dyDescent="0.3">
      <c r="A1463" t="s">
        <v>783</v>
      </c>
      <c r="B1463" s="5">
        <v>70</v>
      </c>
      <c r="C1463" s="9">
        <v>1</v>
      </c>
      <c r="D1463" s="6">
        <v>1.4054813773717499E-4</v>
      </c>
      <c r="E1463" s="7">
        <v>9.8383696416022397E-3</v>
      </c>
      <c r="AF1463" t="str">
        <v>Staff: YUC'e (Theme Song Composition (ED))</v>
      </c>
    </row>
    <row r="1464" spans="1:32" x14ac:dyDescent="0.3">
      <c r="A1464" t="s">
        <v>784</v>
      </c>
      <c r="B1464" s="5">
        <v>70</v>
      </c>
      <c r="C1464" s="9">
        <v>1</v>
      </c>
      <c r="D1464" s="6">
        <v>1.4054813773717499E-4</v>
      </c>
      <c r="E1464" s="7">
        <v>9.8383696416022397E-3</v>
      </c>
      <c r="AF1464" t="str">
        <v>Staff: Kano  (Theme Song Performance (OP))</v>
      </c>
    </row>
    <row r="1465" spans="1:32" x14ac:dyDescent="0.3">
      <c r="A1465" t="s">
        <v>786</v>
      </c>
      <c r="B1465" s="5">
        <v>70</v>
      </c>
      <c r="C1465" s="9">
        <v>1</v>
      </c>
      <c r="D1465" s="6">
        <v>1.4054813773717499E-4</v>
      </c>
      <c r="E1465" s="7">
        <v>9.8383696416022397E-3</v>
      </c>
      <c r="AF1465" t="str">
        <v>Staff: Naomi Oozora (Theme Song Performance (OP))</v>
      </c>
    </row>
    <row r="1466" spans="1:32" x14ac:dyDescent="0.3">
      <c r="A1466" t="s">
        <v>787</v>
      </c>
      <c r="B1466" s="5">
        <v>70</v>
      </c>
      <c r="C1466" s="9">
        <v>1</v>
      </c>
      <c r="D1466" s="6">
        <v>1.4054813773717499E-4</v>
      </c>
      <c r="E1466" s="7">
        <v>9.8383696416022397E-3</v>
      </c>
      <c r="AF1466" t="str">
        <v>Staff: Tsubasa Itou (Theme Song Arrangement (OP))</v>
      </c>
    </row>
    <row r="1467" spans="1:32" x14ac:dyDescent="0.3">
      <c r="A1467" t="s">
        <v>788</v>
      </c>
      <c r="B1467" s="5">
        <v>70</v>
      </c>
      <c r="C1467" s="9">
        <v>1</v>
      </c>
      <c r="D1467" s="6">
        <v>1.4054813773717499E-4</v>
      </c>
      <c r="E1467" s="7">
        <v>9.8383696416022397E-3</v>
      </c>
      <c r="AF1467" t="str">
        <v>Staff: Tomokazu Tashiro (Theme Song Composition (OP))</v>
      </c>
    </row>
    <row r="1468" spans="1:32" x14ac:dyDescent="0.3">
      <c r="A1468" t="s">
        <v>789</v>
      </c>
      <c r="B1468" s="5">
        <v>70</v>
      </c>
      <c r="C1468" s="9">
        <v>1</v>
      </c>
      <c r="D1468" s="6">
        <v>1.4054813773717499E-4</v>
      </c>
      <c r="E1468" s="7">
        <v>9.8383696416022397E-3</v>
      </c>
      <c r="AF1468" t="str">
        <v>Staff: Tomokazu Tashiro (Theme Song Lyrics (OP))</v>
      </c>
    </row>
    <row r="1469" spans="1:32" x14ac:dyDescent="0.3">
      <c r="A1469" t="s">
        <v>790</v>
      </c>
      <c r="B1469" s="5">
        <v>70</v>
      </c>
      <c r="C1469" s="9">
        <v>1</v>
      </c>
      <c r="D1469" s="6">
        <v>1.4054813773717499E-4</v>
      </c>
      <c r="E1469" s="7">
        <v>9.8383696416022397E-3</v>
      </c>
      <c r="AF1469" t="str">
        <v>Staff: Manabu Kurihara (Chief Animation Director)</v>
      </c>
    </row>
    <row r="1470" spans="1:32" x14ac:dyDescent="0.3">
      <c r="A1470" t="s">
        <v>791</v>
      </c>
      <c r="B1470" s="5">
        <v>70</v>
      </c>
      <c r="C1470" s="9">
        <v>1</v>
      </c>
      <c r="D1470" s="6">
        <v>1.4054813773717499E-4</v>
      </c>
      <c r="E1470" s="7">
        <v>9.8383696416022397E-3</v>
      </c>
      <c r="AF1470" t="str">
        <v>Staff: Rina Oguchi (Editing)</v>
      </c>
    </row>
    <row r="1471" spans="1:32" x14ac:dyDescent="0.3">
      <c r="A1471" t="s">
        <v>792</v>
      </c>
      <c r="B1471" s="5">
        <v>70</v>
      </c>
      <c r="C1471" s="9">
        <v>1</v>
      </c>
      <c r="D1471" s="6">
        <v>1.4054813773717499E-4</v>
      </c>
      <c r="E1471" s="7">
        <v>9.8383696416022397E-3</v>
      </c>
      <c r="AF1471" t="str">
        <v>Staff: Ayako Aihara (Color Design)</v>
      </c>
    </row>
    <row r="1472" spans="1:32" x14ac:dyDescent="0.3">
      <c r="A1472" t="s">
        <v>793</v>
      </c>
      <c r="B1472" s="5">
        <v>70</v>
      </c>
      <c r="C1472" s="9">
        <v>1</v>
      </c>
      <c r="D1472" s="6">
        <v>1.4054813773717499E-4</v>
      </c>
      <c r="E1472" s="7">
        <v>9.8383696416022397E-3</v>
      </c>
      <c r="AF1472" t="str">
        <v>Staff: Satoshi Watanabe (Art Design)</v>
      </c>
    </row>
    <row r="1473" spans="1:32" x14ac:dyDescent="0.3">
      <c r="A1473" t="s">
        <v>798</v>
      </c>
      <c r="B1473" s="5">
        <v>70</v>
      </c>
      <c r="C1473" s="9">
        <v>1</v>
      </c>
      <c r="D1473" s="6">
        <v>1.4054813773717499E-4</v>
      </c>
      <c r="E1473" s="7">
        <v>9.8383696416022397E-3</v>
      </c>
      <c r="AF1473" t="str">
        <v>Staff: Satoshi Watanabe (Art Director)</v>
      </c>
    </row>
    <row r="1474" spans="1:32" x14ac:dyDescent="0.3">
      <c r="A1474" t="s">
        <v>799</v>
      </c>
      <c r="B1474" s="5">
        <v>70</v>
      </c>
      <c r="C1474" s="9">
        <v>1</v>
      </c>
      <c r="D1474" s="6">
        <v>1.4054813773717499E-4</v>
      </c>
      <c r="E1474" s="7">
        <v>9.8383696416022397E-3</v>
      </c>
      <c r="AF1474" t="str">
        <v>Staff: Satoshi Igarashi (Music)</v>
      </c>
    </row>
    <row r="1475" spans="1:32" x14ac:dyDescent="0.3">
      <c r="A1475" t="s">
        <v>800</v>
      </c>
      <c r="B1475" s="5">
        <v>70</v>
      </c>
      <c r="C1475" s="9">
        <v>1</v>
      </c>
      <c r="D1475" s="6">
        <v>1.4054813773717499E-4</v>
      </c>
      <c r="E1475" s="7">
        <v>9.8383696416022397E-3</v>
      </c>
      <c r="AF1475" t="str">
        <v>Staff: Kotobuki Matsumoku (Director of Photography)</v>
      </c>
    </row>
    <row r="1476" spans="1:32" x14ac:dyDescent="0.3">
      <c r="A1476" t="s">
        <v>802</v>
      </c>
      <c r="B1476" s="5">
        <v>70</v>
      </c>
      <c r="C1476" s="9">
        <v>1</v>
      </c>
      <c r="D1476" s="6">
        <v>1.4054813773717499E-4</v>
      </c>
      <c r="E1476" s="7">
        <v>9.8383696416022397E-3</v>
      </c>
      <c r="AF1476" t="str">
        <v>Staff: Jakob Möller (ADR Script (German))</v>
      </c>
    </row>
    <row r="1477" spans="1:32" x14ac:dyDescent="0.3">
      <c r="A1477" t="s">
        <v>803</v>
      </c>
      <c r="B1477" s="5">
        <v>70</v>
      </c>
      <c r="C1477" s="9">
        <v>1</v>
      </c>
      <c r="D1477" s="6">
        <v>1.4054813773717499E-4</v>
      </c>
      <c r="E1477" s="7">
        <v>9.8383696416022397E-3</v>
      </c>
      <c r="AF1477" t="str">
        <v>Staff: Franziska Trunte (ADR Director (German))</v>
      </c>
    </row>
    <row r="1478" spans="1:32" x14ac:dyDescent="0.3">
      <c r="A1478" t="s">
        <v>820</v>
      </c>
      <c r="B1478" s="5">
        <v>70</v>
      </c>
      <c r="C1478" s="9">
        <v>1</v>
      </c>
      <c r="D1478" s="6">
        <v>1.4054813773717499E-4</v>
      </c>
      <c r="E1478" s="7">
        <v>9.8383696416022397E-3</v>
      </c>
      <c r="AF1478" t="str">
        <v>Staff: Yui Hara (Original Creator)</v>
      </c>
    </row>
    <row r="1479" spans="1:32" x14ac:dyDescent="0.3">
      <c r="A1479" t="s">
        <v>821</v>
      </c>
      <c r="B1479" s="5">
        <v>70</v>
      </c>
      <c r="C1479" s="9">
        <v>1</v>
      </c>
      <c r="D1479" s="6">
        <v>1.4054813773717499E-4</v>
      </c>
      <c r="E1479" s="7">
        <v>9.8383696416022397E-3</v>
      </c>
      <c r="AF1479" t="str">
        <v>Staff: Kana Ishida (Chief Animation Director)</v>
      </c>
    </row>
    <row r="1480" spans="1:32" x14ac:dyDescent="0.3">
      <c r="A1480" t="s">
        <v>823</v>
      </c>
      <c r="B1480" s="5">
        <v>70</v>
      </c>
      <c r="C1480" s="9">
        <v>1</v>
      </c>
      <c r="D1480" s="6">
        <v>1.4054813773717499E-4</v>
      </c>
      <c r="E1480" s="7">
        <v>9.8383696416022397E-3</v>
      </c>
      <c r="AF1480" t="str">
        <v>Staff: Ray  (Theme Song Performance (OP))</v>
      </c>
    </row>
    <row r="1481" spans="1:32" x14ac:dyDescent="0.3">
      <c r="A1481" t="s">
        <v>824</v>
      </c>
      <c r="B1481" s="5">
        <v>70</v>
      </c>
      <c r="C1481" s="9">
        <v>1</v>
      </c>
      <c r="D1481" s="6">
        <v>1.4054813773717499E-4</v>
      </c>
      <c r="E1481" s="7">
        <v>9.8383696416022397E-3</v>
      </c>
      <c r="AF1481" t="str">
        <v>Staff: Yuusuke Yamamoto (Storyboard (eps 2, 5))</v>
      </c>
    </row>
    <row r="1482" spans="1:32" x14ac:dyDescent="0.3">
      <c r="A1482" t="s">
        <v>825</v>
      </c>
      <c r="B1482" s="5">
        <v>70</v>
      </c>
      <c r="C1482" s="9">
        <v>1</v>
      </c>
      <c r="D1482" s="6">
        <v>1.4054813773717499E-4</v>
      </c>
      <c r="E1482" s="7">
        <v>9.8383696416022397E-3</v>
      </c>
      <c r="AF1482" t="str">
        <v>Staff: Keisuke Fukunaga (Assistant Producer)</v>
      </c>
    </row>
    <row r="1483" spans="1:32" x14ac:dyDescent="0.3">
      <c r="A1483" t="s">
        <v>826</v>
      </c>
      <c r="B1483" s="5">
        <v>70</v>
      </c>
      <c r="C1483" s="9">
        <v>1</v>
      </c>
      <c r="D1483" s="6">
        <v>1.4054813773717499E-4</v>
      </c>
      <c r="E1483" s="7">
        <v>9.8383696416022397E-3</v>
      </c>
      <c r="AF1483" t="str">
        <v>Staff: Yoshinobu Tokumoto (Storyboard (eps 8, 9))</v>
      </c>
    </row>
    <row r="1484" spans="1:32" x14ac:dyDescent="0.3">
      <c r="A1484" t="s">
        <v>827</v>
      </c>
      <c r="B1484" s="5">
        <v>70</v>
      </c>
      <c r="C1484" s="9">
        <v>1</v>
      </c>
      <c r="D1484" s="6">
        <v>1.4054813773717499E-4</v>
      </c>
      <c r="E1484" s="7">
        <v>9.8383696416022397E-3</v>
      </c>
      <c r="AF1484" t="str">
        <v>Staff: Yoshinobu Tokumoto (Episode Director (ep 2))</v>
      </c>
    </row>
    <row r="1485" spans="1:32" x14ac:dyDescent="0.3">
      <c r="A1485" t="s">
        <v>828</v>
      </c>
      <c r="B1485" s="5">
        <v>70</v>
      </c>
      <c r="C1485" s="9">
        <v>1</v>
      </c>
      <c r="D1485" s="6">
        <v>1.4054813773717499E-4</v>
      </c>
      <c r="E1485" s="7">
        <v>9.8383696416022397E-3</v>
      </c>
      <c r="AF1485" t="str">
        <v>Staff: Kana Ishida (Character Design)</v>
      </c>
    </row>
    <row r="1486" spans="1:32" x14ac:dyDescent="0.3">
      <c r="A1486" t="s">
        <v>829</v>
      </c>
      <c r="B1486" s="5">
        <v>70</v>
      </c>
      <c r="C1486" s="9">
        <v>1</v>
      </c>
      <c r="D1486" s="6">
        <v>1.4054813773717499E-4</v>
      </c>
      <c r="E1486" s="7">
        <v>9.8383696416022397E-3</v>
      </c>
      <c r="AF1486" t="str">
        <v>Staff: Jukki Hanada (Script)</v>
      </c>
    </row>
    <row r="1487" spans="1:32" x14ac:dyDescent="0.3">
      <c r="A1487" t="s">
        <v>830</v>
      </c>
      <c r="B1487" s="5">
        <v>70</v>
      </c>
      <c r="C1487" s="9">
        <v>1</v>
      </c>
      <c r="D1487" s="6">
        <v>1.4054813773717499E-4</v>
      </c>
      <c r="E1487" s="7">
        <v>9.8383696416022397E-3</v>
      </c>
      <c r="AF1487" t="str">
        <v>Staff: Jun Fukuyama (Theme Song Performance (ED))</v>
      </c>
    </row>
    <row r="1488" spans="1:32" x14ac:dyDescent="0.3">
      <c r="A1488" t="s">
        <v>831</v>
      </c>
      <c r="B1488" s="5">
        <v>70</v>
      </c>
      <c r="C1488" s="9">
        <v>1</v>
      </c>
      <c r="D1488" s="6">
        <v>1.4054813773717499E-4</v>
      </c>
      <c r="E1488" s="7">
        <v>9.8383696416022397E-3</v>
      </c>
      <c r="AF1488" t="str">
        <v>Staff: Hiroshi Kamiya (Theme Song Performance (ED))</v>
      </c>
    </row>
    <row r="1489" spans="1:32" x14ac:dyDescent="0.3">
      <c r="A1489" t="s">
        <v>832</v>
      </c>
      <c r="B1489" s="5">
        <v>70</v>
      </c>
      <c r="C1489" s="9">
        <v>1</v>
      </c>
      <c r="D1489" s="6">
        <v>1.4054813773717499E-4</v>
      </c>
      <c r="E1489" s="7">
        <v>9.8383696416022397E-3</v>
      </c>
      <c r="AF1489" t="str">
        <v>Staff: Daisuke Ono (Theme Song Performance (ED))</v>
      </c>
    </row>
    <row r="1490" spans="1:32" x14ac:dyDescent="0.3">
      <c r="A1490" t="s">
        <v>833</v>
      </c>
      <c r="B1490" s="5">
        <v>70</v>
      </c>
      <c r="C1490" s="9">
        <v>1</v>
      </c>
      <c r="D1490" s="6">
        <v>1.4054813773717499E-4</v>
      </c>
      <c r="E1490" s="7">
        <v>9.8383696416022397E-3</v>
      </c>
      <c r="AF1490" t="str">
        <v>Staff: Eri Kitamura (Theme Song Performance (OP))</v>
      </c>
    </row>
    <row r="1491" spans="1:32" x14ac:dyDescent="0.3">
      <c r="A1491" t="s">
        <v>834</v>
      </c>
      <c r="B1491" s="5">
        <v>70</v>
      </c>
      <c r="C1491" s="9">
        <v>1</v>
      </c>
      <c r="D1491" s="6">
        <v>1.4054813773717499E-4</v>
      </c>
      <c r="E1491" s="7">
        <v>9.8383696416022397E-3</v>
      </c>
      <c r="AF1491" t="str">
        <v>Staff: Saki Fujita (Theme Song Performance (OP, ED2))</v>
      </c>
    </row>
    <row r="1492" spans="1:32" x14ac:dyDescent="0.3">
      <c r="A1492" t="s">
        <v>836</v>
      </c>
      <c r="B1492" s="5">
        <v>70</v>
      </c>
      <c r="C1492" s="9">
        <v>1</v>
      </c>
      <c r="D1492" s="6">
        <v>1.4054813773717499E-4</v>
      </c>
      <c r="E1492" s="7">
        <v>9.8383696416022397E-3</v>
      </c>
      <c r="AF1492" t="str">
        <v>Staff: Kana Asumi (Theme Song Performance (OP))</v>
      </c>
    </row>
    <row r="1493" spans="1:32" x14ac:dyDescent="0.3">
      <c r="A1493" t="s">
        <v>837</v>
      </c>
      <c r="B1493" s="5">
        <v>70</v>
      </c>
      <c r="C1493" s="9">
        <v>1</v>
      </c>
      <c r="D1493" s="6">
        <v>1.4054813773717499E-4</v>
      </c>
      <c r="E1493" s="7">
        <v>9.8383696416022397E-3</v>
      </c>
      <c r="AF1493" t="str">
        <v>Staff: Satoru Kousaki (Theme Song Arrangement (OP, ED1))</v>
      </c>
    </row>
    <row r="1494" spans="1:32" x14ac:dyDescent="0.3">
      <c r="A1494" t="s">
        <v>838</v>
      </c>
      <c r="B1494" s="5">
        <v>70</v>
      </c>
      <c r="C1494" s="9">
        <v>1</v>
      </c>
      <c r="D1494" s="6">
        <v>1.4054813773717499E-4</v>
      </c>
      <c r="E1494" s="7">
        <v>9.8383696416022397E-3</v>
      </c>
      <c r="AF1494" t="str">
        <v>Staff: Satoru Kousaki (Theme Song Composition (OP, ED1))</v>
      </c>
    </row>
    <row r="1495" spans="1:32" x14ac:dyDescent="0.3">
      <c r="A1495" t="s">
        <v>841</v>
      </c>
      <c r="B1495" s="5">
        <v>70</v>
      </c>
      <c r="C1495" s="9">
        <v>1</v>
      </c>
      <c r="D1495" s="6">
        <v>1.4054813773717499E-4</v>
      </c>
      <c r="E1495" s="7">
        <v>9.8383696416022397E-3</v>
      </c>
      <c r="AF1495" t="str">
        <v>Staff: Fumiko Matsumoto (Key Animation  (ep 1))</v>
      </c>
    </row>
    <row r="1496" spans="1:32" x14ac:dyDescent="0.3">
      <c r="A1496" t="s">
        <v>842</v>
      </c>
      <c r="B1496" s="5">
        <v>70</v>
      </c>
      <c r="C1496" s="9">
        <v>1</v>
      </c>
      <c r="D1496" s="6">
        <v>1.4054813773717499E-4</v>
      </c>
      <c r="E1496" s="7">
        <v>9.8383696416022397E-3</v>
      </c>
      <c r="AF1496" t="str">
        <v>Staff: Atsuko Watanabe (Key Animation  (ep 9))</v>
      </c>
    </row>
    <row r="1497" spans="1:32" x14ac:dyDescent="0.3">
      <c r="A1497" t="s">
        <v>843</v>
      </c>
      <c r="B1497" s="5">
        <v>70</v>
      </c>
      <c r="C1497" s="9">
        <v>1</v>
      </c>
      <c r="D1497" s="6">
        <v>1.4054813773717499E-4</v>
      </c>
      <c r="E1497" s="7">
        <v>9.8383696416022397E-3</v>
      </c>
      <c r="AF1497" t="str">
        <v>Staff: Haruko Iizuka (Animation Director  (ep 9))</v>
      </c>
    </row>
    <row r="1498" spans="1:32" x14ac:dyDescent="0.3">
      <c r="A1498" t="s">
        <v>844</v>
      </c>
      <c r="B1498" s="5">
        <v>70</v>
      </c>
      <c r="C1498" s="9">
        <v>1</v>
      </c>
      <c r="D1498" s="6">
        <v>1.4054813773717499E-4</v>
      </c>
      <c r="E1498" s="7">
        <v>9.8383696416022397E-3</v>
      </c>
      <c r="AF1498" t="str">
        <v>Staff: Yasushi Shingou (Key Animation)</v>
      </c>
    </row>
    <row r="1499" spans="1:32" x14ac:dyDescent="0.3">
      <c r="A1499" t="s">
        <v>845</v>
      </c>
      <c r="B1499" s="5">
        <v>70</v>
      </c>
      <c r="C1499" s="9">
        <v>1</v>
      </c>
      <c r="D1499" s="6">
        <v>1.4054813773717499E-4</v>
      </c>
      <c r="E1499" s="7">
        <v>9.8383696416022397E-3</v>
      </c>
      <c r="AF1499" t="str">
        <v>Staff: Takaomi Kanasaki (Storyboard (eps 7, 11))</v>
      </c>
    </row>
    <row r="1500" spans="1:32" x14ac:dyDescent="0.3">
      <c r="A1500" t="s">
        <v>866</v>
      </c>
      <c r="B1500" s="5">
        <v>70</v>
      </c>
      <c r="C1500" s="9">
        <v>1</v>
      </c>
      <c r="D1500" s="6">
        <v>1.4054813773717499E-4</v>
      </c>
      <c r="E1500" s="7">
        <v>9.8383696416022397E-3</v>
      </c>
      <c r="AF1500" t="str">
        <v>Staff: Fumitoshi Oizaki (Key Animation  (ep: 6))</v>
      </c>
    </row>
    <row r="1501" spans="1:32" x14ac:dyDescent="0.3">
      <c r="A1501" t="s">
        <v>867</v>
      </c>
      <c r="B1501" s="5">
        <v>70</v>
      </c>
      <c r="C1501" s="9">
        <v>1</v>
      </c>
      <c r="D1501" s="6">
        <v>1.4054813773717499E-4</v>
      </c>
      <c r="E1501" s="7">
        <v>9.8383696416022397E-3</v>
      </c>
      <c r="AF1501" t="str">
        <v>Staff: Rika Nakase (Script)</v>
      </c>
    </row>
    <row r="1502" spans="1:32" x14ac:dyDescent="0.3">
      <c r="A1502" t="s">
        <v>868</v>
      </c>
      <c r="B1502" s="5">
        <v>70</v>
      </c>
      <c r="C1502" s="9">
        <v>1</v>
      </c>
      <c r="D1502" s="6">
        <v>1.4054813773717499E-4</v>
      </c>
      <c r="E1502" s="7">
        <v>9.8383696416022397E-3</v>
      </c>
      <c r="AF1502" t="str">
        <v>Staff: Takeshi Yoshioka (Key Animation  (ep 6))</v>
      </c>
    </row>
    <row r="1503" spans="1:32" x14ac:dyDescent="0.3">
      <c r="A1503" t="s">
        <v>869</v>
      </c>
      <c r="B1503" s="5">
        <v>70</v>
      </c>
      <c r="C1503" s="9">
        <v>1</v>
      </c>
      <c r="D1503" s="6">
        <v>1.4054813773717499E-4</v>
      </c>
      <c r="E1503" s="7">
        <v>9.8383696416022397E-3</v>
      </c>
      <c r="AF1503" t="str">
        <v>Staff: Mieko Hosoi (Key Animation  (ep 6))</v>
      </c>
    </row>
    <row r="1504" spans="1:32" x14ac:dyDescent="0.3">
      <c r="A1504" t="s">
        <v>871</v>
      </c>
      <c r="B1504" s="5">
        <v>70</v>
      </c>
      <c r="C1504" s="9">
        <v>1</v>
      </c>
      <c r="D1504" s="6">
        <v>1.4054813773717499E-4</v>
      </c>
      <c r="E1504" s="7">
        <v>9.8383696416022397E-3</v>
      </c>
      <c r="AF1504" t="str">
        <v>Staff: Kousuke Kawamura (Key Animation  (ep 1))</v>
      </c>
    </row>
    <row r="1505" spans="1:32" x14ac:dyDescent="0.3">
      <c r="A1505" t="s">
        <v>873</v>
      </c>
      <c r="B1505" s="5">
        <v>70</v>
      </c>
      <c r="C1505" s="9">
        <v>1</v>
      </c>
      <c r="D1505" s="6">
        <v>1.4054813773717499E-4</v>
      </c>
      <c r="E1505" s="7">
        <v>9.8383696416022397E-3</v>
      </c>
      <c r="AF1505" t="str">
        <v>Staff: Shingo Adachi (Character Design)</v>
      </c>
    </row>
    <row r="1506" spans="1:32" x14ac:dyDescent="0.3">
      <c r="A1506" t="s">
        <v>875</v>
      </c>
      <c r="B1506" s="5">
        <v>70</v>
      </c>
      <c r="C1506" s="9">
        <v>1</v>
      </c>
      <c r="D1506" s="6">
        <v>1.4054813773717499E-4</v>
      </c>
      <c r="E1506" s="7">
        <v>9.8383696416022397E-3</v>
      </c>
      <c r="AF1506" t="str">
        <v>Staff: Shingo Adachi (Animation Director (OP, ED, ep 13))</v>
      </c>
    </row>
    <row r="1507" spans="1:32" x14ac:dyDescent="0.3">
      <c r="A1507" t="s">
        <v>876</v>
      </c>
      <c r="B1507" s="5">
        <v>70</v>
      </c>
      <c r="C1507" s="9">
        <v>1</v>
      </c>
      <c r="D1507" s="6">
        <v>1.4054813773717499E-4</v>
      </c>
      <c r="E1507" s="7">
        <v>9.8383696416022397E-3</v>
      </c>
      <c r="AF1507" t="str">
        <v>Staff: Yumi Kamakura (Director)</v>
      </c>
    </row>
    <row r="1508" spans="1:32" x14ac:dyDescent="0.3">
      <c r="A1508" t="s">
        <v>877</v>
      </c>
      <c r="B1508" s="5">
        <v>70</v>
      </c>
      <c r="C1508" s="9">
        <v>1</v>
      </c>
      <c r="D1508" s="6">
        <v>1.4054813773717499E-4</v>
      </c>
      <c r="E1508" s="7">
        <v>9.8383696416022397E-3</v>
      </c>
      <c r="AF1508" t="str">
        <v>Staff: Mayuko Nakano (Character Design)</v>
      </c>
    </row>
    <row r="1509" spans="1:32" x14ac:dyDescent="0.3">
      <c r="A1509" t="s">
        <v>880</v>
      </c>
      <c r="B1509" s="5">
        <v>70</v>
      </c>
      <c r="C1509" s="9">
        <v>1</v>
      </c>
      <c r="D1509" s="6">
        <v>1.4054813773717499E-4</v>
      </c>
      <c r="E1509" s="7">
        <v>9.8383696416022397E-3</v>
      </c>
      <c r="AF1509" t="str">
        <v>Staff: Mayuko Nakano (Chief Animation Director)</v>
      </c>
    </row>
    <row r="1510" spans="1:32" x14ac:dyDescent="0.3">
      <c r="A1510" t="s">
        <v>882</v>
      </c>
      <c r="B1510" s="5">
        <v>70</v>
      </c>
      <c r="C1510" s="9">
        <v>1</v>
      </c>
      <c r="D1510" s="6">
        <v>1.4054813773717499E-4</v>
      </c>
      <c r="E1510" s="7">
        <v>9.8383696416022397E-3</v>
      </c>
      <c r="AF1510" t="str">
        <v>Staff: Izuro Ijuuin (Animation Director (ep 5))</v>
      </c>
    </row>
    <row r="1511" spans="1:32" x14ac:dyDescent="0.3">
      <c r="A1511" t="s">
        <v>883</v>
      </c>
      <c r="B1511" s="5">
        <v>70</v>
      </c>
      <c r="C1511" s="9">
        <v>1</v>
      </c>
      <c r="D1511" s="6">
        <v>1.4054813773717499E-4</v>
      </c>
      <c r="E1511" s="7">
        <v>9.8383696416022397E-3</v>
      </c>
      <c r="AF1511" t="str">
        <v>Staff: Sora Amamiya (Theme Song Performance (OP))</v>
      </c>
    </row>
    <row r="1512" spans="1:32" x14ac:dyDescent="0.3">
      <c r="A1512" t="s">
        <v>884</v>
      </c>
      <c r="B1512" s="5">
        <v>70</v>
      </c>
      <c r="C1512" s="9">
        <v>1</v>
      </c>
      <c r="D1512" s="6">
        <v>1.4054813773717499E-4</v>
      </c>
      <c r="E1512" s="7">
        <v>9.8383696416022397E-3</v>
      </c>
      <c r="AF1512" t="str">
        <v>Staff: Kenshou Ono (Theme Song Performance (ED))</v>
      </c>
    </row>
    <row r="1513" spans="1:32" x14ac:dyDescent="0.3">
      <c r="A1513" t="s">
        <v>885</v>
      </c>
      <c r="B1513" s="5">
        <v>70</v>
      </c>
      <c r="C1513" s="9">
        <v>1</v>
      </c>
      <c r="D1513" s="6">
        <v>1.4054813773717499E-4</v>
      </c>
      <c r="E1513" s="7">
        <v>9.8383696416022397E-3</v>
      </c>
      <c r="AF1513" t="str">
        <v>Staff: Kouki Uchiyama (Theme Song Performance (ED))</v>
      </c>
    </row>
    <row r="1514" spans="1:32" x14ac:dyDescent="0.3">
      <c r="A1514" t="s">
        <v>886</v>
      </c>
      <c r="B1514" s="5">
        <v>70</v>
      </c>
      <c r="C1514" s="9">
        <v>1</v>
      </c>
      <c r="D1514" s="6">
        <v>1.4054813773717499E-4</v>
      </c>
      <c r="E1514" s="7">
        <v>9.8383696416022397E-3</v>
      </c>
      <c r="AF1514" t="str">
        <v>Staff: Tomotaka Oosumi (Theme Song Arrangement (OP))</v>
      </c>
    </row>
    <row r="1515" spans="1:32" x14ac:dyDescent="0.3">
      <c r="A1515" t="s">
        <v>887</v>
      </c>
      <c r="B1515" s="5">
        <v>70</v>
      </c>
      <c r="C1515" s="9">
        <v>1</v>
      </c>
      <c r="D1515" s="6">
        <v>1.4054813773717499E-4</v>
      </c>
      <c r="E1515" s="7">
        <v>9.8383696416022397E-3</v>
      </c>
      <c r="AF1515" t="str">
        <v>Staff: Youko Hikasa (Theme Song Performance (OP))</v>
      </c>
    </row>
    <row r="1516" spans="1:32" x14ac:dyDescent="0.3">
      <c r="A1516" t="s">
        <v>888</v>
      </c>
      <c r="B1516" s="5">
        <v>70</v>
      </c>
      <c r="C1516" s="9">
        <v>1</v>
      </c>
      <c r="D1516" s="6">
        <v>1.4054813773717499E-4</v>
      </c>
      <c r="E1516" s="7">
        <v>9.8383696416022397E-3</v>
      </c>
      <c r="AF1516" t="str">
        <v>Staff: Haruka Tomatsu (Theme Song Performance (OP))</v>
      </c>
    </row>
    <row r="1517" spans="1:32" x14ac:dyDescent="0.3">
      <c r="A1517" t="s">
        <v>889</v>
      </c>
      <c r="B1517" s="5">
        <v>70</v>
      </c>
      <c r="C1517" s="9">
        <v>1</v>
      </c>
      <c r="D1517" s="6">
        <v>1.4054813773717499E-4</v>
      </c>
      <c r="E1517" s="7">
        <v>9.8383696416022397E-3</v>
      </c>
      <c r="AF1517" t="str">
        <v>Staff: Yuuichi Nakamura (Theme Song Performance (ED))</v>
      </c>
    </row>
    <row r="1518" spans="1:32" x14ac:dyDescent="0.3">
      <c r="A1518" t="s">
        <v>890</v>
      </c>
      <c r="B1518" s="5">
        <v>70</v>
      </c>
      <c r="C1518" s="9">
        <v>1</v>
      </c>
      <c r="D1518" s="6">
        <v>1.4054813773717499E-4</v>
      </c>
      <c r="E1518" s="7">
        <v>9.8383696416022397E-3</v>
      </c>
      <c r="AF1518" t="str">
        <v>Staff: Tomotaka Oosumi (Theme Song Composition (OP))</v>
      </c>
    </row>
    <row r="1519" spans="1:32" x14ac:dyDescent="0.3">
      <c r="A1519" t="s">
        <v>891</v>
      </c>
      <c r="B1519" s="5">
        <v>70</v>
      </c>
      <c r="C1519" s="9">
        <v>1</v>
      </c>
      <c r="D1519" s="6">
        <v>1.4054813773717499E-4</v>
      </c>
      <c r="E1519" s="7">
        <v>9.8383696416022397E-3</v>
      </c>
      <c r="AF1519" t="str">
        <v>Staff: Ryuuhei Aoyagi (Episode Director (ep 6))</v>
      </c>
    </row>
    <row r="1520" spans="1:32" x14ac:dyDescent="0.3">
      <c r="A1520" t="s">
        <v>892</v>
      </c>
      <c r="B1520" s="5">
        <v>70</v>
      </c>
      <c r="C1520" s="9">
        <v>1</v>
      </c>
      <c r="D1520" s="6">
        <v>1.4054813773717499E-4</v>
      </c>
      <c r="E1520" s="7">
        <v>9.8383696416022397E-3</v>
      </c>
      <c r="AF1520" t="str">
        <v>Staff: Yumi Kamakura (Episode Director (eps 1, 9, 13))</v>
      </c>
    </row>
    <row r="1521" spans="1:32" x14ac:dyDescent="0.3">
      <c r="A1521" t="s">
        <v>893</v>
      </c>
      <c r="B1521" s="5">
        <v>70</v>
      </c>
      <c r="C1521" s="9">
        <v>1</v>
      </c>
      <c r="D1521" s="6">
        <v>1.4054813773717499E-4</v>
      </c>
      <c r="E1521" s="7">
        <v>9.8383696416022397E-3</v>
      </c>
      <c r="AF1521" t="str">
        <v>Staff: Nanako  Shimazaki (Storyboard (ep 11))</v>
      </c>
    </row>
    <row r="1522" spans="1:32" x14ac:dyDescent="0.3">
      <c r="A1522" t="s">
        <v>894</v>
      </c>
      <c r="B1522" s="5">
        <v>70</v>
      </c>
      <c r="C1522" s="9">
        <v>1</v>
      </c>
      <c r="D1522" s="6">
        <v>1.4054813773717499E-4</v>
      </c>
      <c r="E1522" s="7">
        <v>9.8383696416022397E-3</v>
      </c>
      <c r="AF1522" t="str">
        <v>Staff: Satoshi Saga (Episode Director (ep 2))</v>
      </c>
    </row>
    <row r="1523" spans="1:32" x14ac:dyDescent="0.3">
      <c r="A1523" t="s">
        <v>895</v>
      </c>
      <c r="B1523" s="5">
        <v>70</v>
      </c>
      <c r="C1523" s="9">
        <v>1</v>
      </c>
      <c r="D1523" s="6">
        <v>1.4054813773717499E-4</v>
      </c>
      <c r="E1523" s="7">
        <v>9.8383696416022397E-3</v>
      </c>
      <c r="AF1523" t="str">
        <v>Staff: Rei Nakahara (Episode Director (ep 3))</v>
      </c>
    </row>
    <row r="1524" spans="1:32" x14ac:dyDescent="0.3">
      <c r="A1524" t="s">
        <v>896</v>
      </c>
      <c r="B1524" s="5">
        <v>70</v>
      </c>
      <c r="C1524" s="9">
        <v>1</v>
      </c>
      <c r="D1524" s="6">
        <v>1.4054813773717499E-4</v>
      </c>
      <c r="E1524" s="7">
        <v>9.8383696416022397E-3</v>
      </c>
      <c r="AF1524" t="str">
        <v>Staff: Yumi Kamakura (Storyboard (eps 1, 9, 13))</v>
      </c>
    </row>
    <row r="1525" spans="1:32" x14ac:dyDescent="0.3">
      <c r="A1525" t="s">
        <v>897</v>
      </c>
      <c r="B1525" s="5">
        <v>70</v>
      </c>
      <c r="C1525" s="9">
        <v>1</v>
      </c>
      <c r="D1525" s="6">
        <v>1.4054813773717499E-4</v>
      </c>
      <c r="E1525" s="7">
        <v>9.8383696416022397E-3</v>
      </c>
      <c r="AF1525" t="str">
        <v>Staff: Satoshi Saga (Storyboard (eps 2, 8))</v>
      </c>
    </row>
    <row r="1526" spans="1:32" x14ac:dyDescent="0.3">
      <c r="A1526" t="s">
        <v>908</v>
      </c>
      <c r="B1526" s="5">
        <v>70</v>
      </c>
      <c r="C1526" s="9">
        <v>1</v>
      </c>
      <c r="D1526" s="6">
        <v>1.4054813773717499E-4</v>
      </c>
      <c r="E1526" s="7">
        <v>9.8383696416022397E-3</v>
      </c>
      <c r="AF1526" t="str">
        <v>Staff: Ryuuhei Aoyagi (Storyboard (eps 6, 12))</v>
      </c>
    </row>
    <row r="1527" spans="1:32" x14ac:dyDescent="0.3">
      <c r="A1527" t="s">
        <v>909</v>
      </c>
      <c r="B1527" s="5">
        <v>70</v>
      </c>
      <c r="C1527" s="9">
        <v>1</v>
      </c>
      <c r="D1527" s="6">
        <v>1.4054813773717499E-4</v>
      </c>
      <c r="E1527" s="7">
        <v>9.8383696416022397E-3</v>
      </c>
      <c r="AF1527" t="str">
        <v>Staff: Mamiko Sekiya (Episode Director (ep 10))</v>
      </c>
    </row>
    <row r="1528" spans="1:32" x14ac:dyDescent="0.3">
      <c r="A1528" t="s">
        <v>910</v>
      </c>
      <c r="B1528" s="5">
        <v>70</v>
      </c>
      <c r="C1528" s="9">
        <v>1</v>
      </c>
      <c r="D1528" s="6">
        <v>1.4054813773717499E-4</v>
      </c>
      <c r="E1528" s="7">
        <v>9.8383696416022397E-3</v>
      </c>
      <c r="AF1528" t="str">
        <v>Staff: Nanako  Shimazaki (Episode Director (ep 11))</v>
      </c>
    </row>
    <row r="1529" spans="1:32" x14ac:dyDescent="0.3">
      <c r="A1529" t="s">
        <v>911</v>
      </c>
      <c r="B1529" s="5">
        <v>70</v>
      </c>
      <c r="C1529" s="9">
        <v>1</v>
      </c>
      <c r="D1529" s="6">
        <v>1.4054813773717499E-4</v>
      </c>
      <c r="E1529" s="7">
        <v>9.8383696416022397E-3</v>
      </c>
      <c r="AF1529" t="str">
        <v>Staff: Carlo Zen (Original Story)</v>
      </c>
    </row>
    <row r="1530" spans="1:32" x14ac:dyDescent="0.3">
      <c r="A1530" t="s">
        <v>912</v>
      </c>
      <c r="B1530" s="5">
        <v>70</v>
      </c>
      <c r="C1530" s="9">
        <v>1</v>
      </c>
      <c r="D1530" s="6">
        <v>1.4054813773717499E-4</v>
      </c>
      <c r="E1530" s="7">
        <v>9.8383696416022397E-3</v>
      </c>
      <c r="AF1530" t="str">
        <v>Staff: Shinobu Shinotsuki (Original Character Design)</v>
      </c>
    </row>
    <row r="1531" spans="1:32" x14ac:dyDescent="0.3">
      <c r="A1531" t="s">
        <v>913</v>
      </c>
      <c r="B1531" s="5">
        <v>70</v>
      </c>
      <c r="C1531" s="9">
        <v>1</v>
      </c>
      <c r="D1531" s="6">
        <v>1.4054813773717499E-4</v>
      </c>
      <c r="E1531" s="7">
        <v>9.8383696416022397E-3</v>
      </c>
      <c r="AF1531" t="str">
        <v>Staff: Yutaka Uemura (Director)</v>
      </c>
    </row>
    <row r="1532" spans="1:32" x14ac:dyDescent="0.3">
      <c r="A1532" t="s">
        <v>914</v>
      </c>
      <c r="B1532" s="5">
        <v>70</v>
      </c>
      <c r="C1532" s="9">
        <v>1</v>
      </c>
      <c r="D1532" s="6">
        <v>1.4054813773717499E-4</v>
      </c>
      <c r="E1532" s="7">
        <v>9.8383696416022397E-3</v>
      </c>
      <c r="AF1532" t="str">
        <v>Staff: Kenta Ihara (Series Composition)</v>
      </c>
    </row>
    <row r="1533" spans="1:32" x14ac:dyDescent="0.3">
      <c r="A1533" t="s">
        <v>915</v>
      </c>
      <c r="B1533" s="5">
        <v>70</v>
      </c>
      <c r="C1533" s="9">
        <v>1</v>
      </c>
      <c r="D1533" s="6">
        <v>1.4054813773717499E-4</v>
      </c>
      <c r="E1533" s="7">
        <v>9.8383696416022397E-3</v>
      </c>
      <c r="AF1533" t="str">
        <v>Staff: Yuuji Hosogoe (Character Design)</v>
      </c>
    </row>
    <row r="1534" spans="1:32" x14ac:dyDescent="0.3">
      <c r="A1534" t="s">
        <v>916</v>
      </c>
      <c r="B1534" s="5">
        <v>70</v>
      </c>
      <c r="C1534" s="9">
        <v>1</v>
      </c>
      <c r="D1534" s="6">
        <v>1.4054813773717499E-4</v>
      </c>
      <c r="E1534" s="7">
        <v>9.8383696416022397E-3</v>
      </c>
      <c r="AF1534" t="str">
        <v>Staff: Yuuji Hosogoe (Chief Animation Director)</v>
      </c>
    </row>
    <row r="1535" spans="1:32" x14ac:dyDescent="0.3">
      <c r="A1535" t="s">
        <v>917</v>
      </c>
      <c r="B1535" s="5">
        <v>70</v>
      </c>
      <c r="C1535" s="9">
        <v>1</v>
      </c>
      <c r="D1535" s="6">
        <v>1.4054813773717499E-4</v>
      </c>
      <c r="E1535" s="7">
        <v>9.8383696416022397E-3</v>
      </c>
      <c r="AF1535" t="str">
        <v>Staff: MYTH &amp; ROID (Theme Song Performance (OP))</v>
      </c>
    </row>
    <row r="1536" spans="1:32" x14ac:dyDescent="0.3">
      <c r="A1536" t="s">
        <v>919</v>
      </c>
      <c r="B1536" s="5">
        <v>70</v>
      </c>
      <c r="C1536" s="9">
        <v>1</v>
      </c>
      <c r="D1536" s="6">
        <v>1.4054813773717499E-4</v>
      </c>
      <c r="E1536" s="7">
        <v>9.8383696416022397E-3</v>
      </c>
      <c r="AF1536" t="str">
        <v>Staff: Aoi Yuuki (Theme Song Performance (ED1))</v>
      </c>
    </row>
    <row r="1537" spans="1:32" x14ac:dyDescent="0.3">
      <c r="A1537" t="s">
        <v>920</v>
      </c>
      <c r="B1537" s="5">
        <v>70</v>
      </c>
      <c r="C1537" s="9">
        <v>1</v>
      </c>
      <c r="D1537" s="6">
        <v>1.4054813773717499E-4</v>
      </c>
      <c r="E1537" s="7">
        <v>9.8383696416022397E-3</v>
      </c>
      <c r="AF1537" t="str">
        <v>Staff: Keisuke Nishijima (Key Animation (ep 2))</v>
      </c>
    </row>
    <row r="1538" spans="1:32" x14ac:dyDescent="0.3">
      <c r="A1538" t="s">
        <v>921</v>
      </c>
      <c r="B1538" s="5">
        <v>70</v>
      </c>
      <c r="C1538" s="9">
        <v>1</v>
      </c>
      <c r="D1538" s="6">
        <v>1.4054813773717499E-4</v>
      </c>
      <c r="E1538" s="7">
        <v>9.8383696416022397E-3</v>
      </c>
      <c r="AF1538" t="str">
        <v>Staff: Takao Maki (Animation Director (eps 5-7, 11))</v>
      </c>
    </row>
    <row r="1539" spans="1:32" x14ac:dyDescent="0.3">
      <c r="A1539" t="s">
        <v>922</v>
      </c>
      <c r="B1539" s="5">
        <v>70</v>
      </c>
      <c r="C1539" s="9">
        <v>1</v>
      </c>
      <c r="D1539" s="6">
        <v>1.4054813773717499E-4</v>
      </c>
      <c r="E1539" s="7">
        <v>9.8383696416022397E-3</v>
      </c>
      <c r="AF1539" t="str">
        <v>Staff: You Moriyama (Prop Design)</v>
      </c>
    </row>
    <row r="1540" spans="1:32" x14ac:dyDescent="0.3">
      <c r="A1540" t="s">
        <v>924</v>
      </c>
      <c r="B1540" s="5">
        <v>70</v>
      </c>
      <c r="C1540" s="9">
        <v>1</v>
      </c>
      <c r="D1540" s="6">
        <v>1.4054813773717499E-4</v>
      </c>
      <c r="E1540" s="7">
        <v>9.8383696416022397E-3</v>
      </c>
      <c r="AF1540" t="str">
        <v>Staff: Shuji Katayama (Music)</v>
      </c>
    </row>
    <row r="1541" spans="1:32" x14ac:dyDescent="0.3">
      <c r="A1541" t="s">
        <v>925</v>
      </c>
      <c r="B1541" s="5">
        <v>70</v>
      </c>
      <c r="C1541" s="9">
        <v>1</v>
      </c>
      <c r="D1541" s="6">
        <v>1.4054813773717499E-4</v>
      </c>
      <c r="E1541" s="7">
        <v>9.8383696416022397E-3</v>
      </c>
      <c r="AF1541" t="str">
        <v>Staff: Juansheng Shi (Key Animation)</v>
      </c>
    </row>
    <row r="1542" spans="1:32" x14ac:dyDescent="0.3">
      <c r="A1542" t="s">
        <v>926</v>
      </c>
      <c r="B1542" s="5">
        <v>70</v>
      </c>
      <c r="C1542" s="9">
        <v>1</v>
      </c>
      <c r="D1542" s="6">
        <v>1.4054813773717499E-4</v>
      </c>
      <c r="E1542" s="7">
        <v>9.8383696416022397E-3</v>
      </c>
      <c r="AF1542" t="str">
        <v>Staff: Mako Niina (Theme Song Performance (ED2))</v>
      </c>
    </row>
    <row r="1543" spans="1:32" x14ac:dyDescent="0.3">
      <c r="A1543" t="s">
        <v>928</v>
      </c>
      <c r="B1543" s="5">
        <v>70</v>
      </c>
      <c r="C1543" s="9">
        <v>1</v>
      </c>
      <c r="D1543" s="6">
        <v>1.4054813773717499E-4</v>
      </c>
      <c r="E1543" s="7">
        <v>9.8383696416022397E-3</v>
      </c>
      <c r="AF1543" t="str">
        <v>Staff: Heart's Cry (Theme Song Composition (ED2))</v>
      </c>
    </row>
    <row r="1544" spans="1:32" x14ac:dyDescent="0.3">
      <c r="A1544" t="s">
        <v>929</v>
      </c>
      <c r="B1544" s="5">
        <v>70</v>
      </c>
      <c r="C1544" s="9">
        <v>1</v>
      </c>
      <c r="D1544" s="6">
        <v>1.4054813773717499E-4</v>
      </c>
      <c r="E1544" s="7">
        <v>9.8383696416022397E-3</v>
      </c>
      <c r="AF1544" t="str">
        <v>Staff: Heart's Cry (Theme Song Lyrics (ED2))</v>
      </c>
    </row>
    <row r="1545" spans="1:32" x14ac:dyDescent="0.3">
      <c r="A1545" t="s">
        <v>930</v>
      </c>
      <c r="B1545" s="5">
        <v>70</v>
      </c>
      <c r="C1545" s="9">
        <v>1</v>
      </c>
      <c r="D1545" s="6">
        <v>1.4054813773717499E-4</v>
      </c>
      <c r="E1545" s="7">
        <v>9.8383696416022397E-3</v>
      </c>
      <c r="AF1545" t="str">
        <v>Staff: Heart's Cry (Theme Song Arrangement (ED2))</v>
      </c>
    </row>
    <row r="1546" spans="1:32" x14ac:dyDescent="0.3">
      <c r="A1546" t="s">
        <v>931</v>
      </c>
      <c r="B1546" s="5">
        <v>70</v>
      </c>
      <c r="C1546" s="9">
        <v>1</v>
      </c>
      <c r="D1546" s="6">
        <v>1.4054813773717499E-4</v>
      </c>
      <c r="E1546" s="7">
        <v>9.8383696416022397E-3</v>
      </c>
      <c r="AF1546" t="str">
        <v>Staff: MYTH &amp; ROID (Theme Song Lyrics (OP))</v>
      </c>
    </row>
    <row r="1547" spans="1:32" x14ac:dyDescent="0.3">
      <c r="A1547" t="s">
        <v>932</v>
      </c>
      <c r="B1547" s="5">
        <v>70</v>
      </c>
      <c r="C1547" s="9">
        <v>1</v>
      </c>
      <c r="D1547" s="6">
        <v>1.4054813773717499E-4</v>
      </c>
      <c r="E1547" s="7">
        <v>9.8383696416022397E-3</v>
      </c>
      <c r="AF1547" t="str">
        <v>Staff: MYTH &amp; ROID (Theme Song Arrangement (OP))</v>
      </c>
    </row>
    <row r="1548" spans="1:32" x14ac:dyDescent="0.3">
      <c r="A1548" t="s">
        <v>933</v>
      </c>
      <c r="B1548" s="5">
        <v>70</v>
      </c>
      <c r="C1548" s="9">
        <v>1</v>
      </c>
      <c r="D1548" s="6">
        <v>1.4054813773717499E-4</v>
      </c>
      <c r="E1548" s="7">
        <v>9.8383696416022397E-3</v>
      </c>
      <c r="AF1548" t="str">
        <v>Staff: MYTH &amp; ROID (Theme Song Composition (OP))</v>
      </c>
    </row>
    <row r="1549" spans="1:32" x14ac:dyDescent="0.3">
      <c r="A1549" t="s">
        <v>935</v>
      </c>
      <c r="B1549" s="5">
        <v>70</v>
      </c>
      <c r="C1549" s="9">
        <v>1</v>
      </c>
      <c r="D1549" s="6">
        <v>1.4054813773717499E-4</v>
      </c>
      <c r="E1549" s="7">
        <v>9.8383696416022397E-3</v>
      </c>
      <c r="AF1549" t="str">
        <v>Staff: Heart's Cry (Insert Song Composition (ep 9))</v>
      </c>
    </row>
    <row r="1550" spans="1:32" x14ac:dyDescent="0.3">
      <c r="A1550" t="s">
        <v>954</v>
      </c>
      <c r="B1550" s="5">
        <v>70</v>
      </c>
      <c r="C1550" s="9">
        <v>1</v>
      </c>
      <c r="D1550" s="6">
        <v>1.4054813773717499E-4</v>
      </c>
      <c r="E1550" s="7">
        <v>9.8383696416022397E-3</v>
      </c>
      <c r="AF1550" t="str">
        <v>Staff: Mako Niina (Insert Song Performance (ep 9))</v>
      </c>
    </row>
    <row r="1551" spans="1:32" x14ac:dyDescent="0.3">
      <c r="A1551" t="s">
        <v>955</v>
      </c>
      <c r="B1551" s="5">
        <v>70</v>
      </c>
      <c r="C1551" s="9">
        <v>1</v>
      </c>
      <c r="D1551" s="6">
        <v>1.4054813773717499E-4</v>
      </c>
      <c r="E1551" s="7">
        <v>9.8383696416022397E-3</v>
      </c>
      <c r="AF1551" t="str">
        <v>Staff: Heart's Cry (Insert Song Lyrics (ep 9))</v>
      </c>
    </row>
    <row r="1552" spans="1:32" x14ac:dyDescent="0.3">
      <c r="A1552" t="s">
        <v>956</v>
      </c>
      <c r="B1552" s="5">
        <v>70</v>
      </c>
      <c r="C1552" s="9">
        <v>1</v>
      </c>
      <c r="D1552" s="6">
        <v>1.4054813773717499E-4</v>
      </c>
      <c r="E1552" s="7">
        <v>9.8383696416022397E-3</v>
      </c>
      <c r="AF1552" t="str">
        <v>Staff: Heart's Cry (Insert Song Arrangement (ep 9))</v>
      </c>
    </row>
    <row r="1553" spans="1:32" x14ac:dyDescent="0.3">
      <c r="A1553" t="s">
        <v>957</v>
      </c>
      <c r="B1553" s="5">
        <v>70</v>
      </c>
      <c r="C1553" s="9">
        <v>1</v>
      </c>
      <c r="D1553" s="6">
        <v>1.4054813773717499E-4</v>
      </c>
      <c r="E1553" s="7">
        <v>9.8383696416022397E-3</v>
      </c>
      <c r="AF1553" t="str">
        <v>Staff: Shion Miura (Original Story)</v>
      </c>
    </row>
    <row r="1554" spans="1:32" x14ac:dyDescent="0.3">
      <c r="A1554" t="s">
        <v>958</v>
      </c>
      <c r="B1554" s="5">
        <v>70</v>
      </c>
      <c r="C1554" s="9">
        <v>1</v>
      </c>
      <c r="D1554" s="6">
        <v>1.4054813773717499E-4</v>
      </c>
      <c r="E1554" s="7">
        <v>9.8383696416022397E-3</v>
      </c>
      <c r="AF1554" t="str">
        <v>Staff: Haruko Kumota (Original Character Design)</v>
      </c>
    </row>
    <row r="1555" spans="1:32" x14ac:dyDescent="0.3">
      <c r="A1555" t="s">
        <v>959</v>
      </c>
      <c r="B1555" s="5">
        <v>70</v>
      </c>
      <c r="C1555" s="9">
        <v>1</v>
      </c>
      <c r="D1555" s="6">
        <v>1.4054813773717499E-4</v>
      </c>
      <c r="E1555" s="7">
        <v>9.8383696416022397E-3</v>
      </c>
      <c r="AF1555" t="str">
        <v>Staff: Toshimasa Kuroyanagi (Director)</v>
      </c>
    </row>
    <row r="1556" spans="1:32" x14ac:dyDescent="0.3">
      <c r="A1556" t="s">
        <v>960</v>
      </c>
      <c r="B1556" s="5">
        <v>70</v>
      </c>
      <c r="C1556" s="9">
        <v>1</v>
      </c>
      <c r="D1556" s="6">
        <v>1.4054813773717499E-4</v>
      </c>
      <c r="E1556" s="7">
        <v>9.8383696416022397E-3</v>
      </c>
      <c r="AF1556" t="str">
        <v>Staff: Takuya Satou (Series Composition)</v>
      </c>
    </row>
    <row r="1557" spans="1:32" x14ac:dyDescent="0.3">
      <c r="A1557" t="s">
        <v>961</v>
      </c>
      <c r="B1557" s="5">
        <v>70</v>
      </c>
      <c r="C1557" s="9">
        <v>1</v>
      </c>
      <c r="D1557" s="6">
        <v>1.4054813773717499E-4</v>
      </c>
      <c r="E1557" s="7">
        <v>9.8383696416022397E-3</v>
      </c>
      <c r="AF1557" t="str">
        <v>Staff: Hiroyuki Aoyama (Character Design)</v>
      </c>
    </row>
    <row r="1558" spans="1:32" x14ac:dyDescent="0.3">
      <c r="A1558" t="s">
        <v>962</v>
      </c>
      <c r="B1558" s="5">
        <v>70</v>
      </c>
      <c r="C1558" s="9">
        <v>1</v>
      </c>
      <c r="D1558" s="6">
        <v>1.4054813773717499E-4</v>
      </c>
      <c r="E1558" s="7">
        <v>9.8383696416022397E-3</v>
      </c>
      <c r="AF1558" t="str">
        <v>Staff: Yuka Hirama (Art Director)</v>
      </c>
    </row>
    <row r="1559" spans="1:32" x14ac:dyDescent="0.3">
      <c r="A1559" t="s">
        <v>964</v>
      </c>
      <c r="B1559" s="5">
        <v>70</v>
      </c>
      <c r="C1559" s="9">
        <v>1</v>
      </c>
      <c r="D1559" s="6">
        <v>1.4054813773717499E-4</v>
      </c>
      <c r="E1559" s="7">
        <v>9.8383696416022397E-3</v>
      </c>
      <c r="AF1559" t="str">
        <v>Staff: Hiroki Matsumoto (Background Art (eps 1-2))</v>
      </c>
    </row>
    <row r="1560" spans="1:32" x14ac:dyDescent="0.3">
      <c r="A1560" t="s">
        <v>965</v>
      </c>
      <c r="B1560" s="5">
        <v>70</v>
      </c>
      <c r="C1560" s="9">
        <v>1</v>
      </c>
      <c r="D1560" s="6">
        <v>1.4054813773717499E-4</v>
      </c>
      <c r="E1560" s="7">
        <v>9.8383696416022397E-3</v>
      </c>
      <c r="AF1560" t="str">
        <v>Staff: Takayuki Noguchi (Animation Director (ep 1))</v>
      </c>
    </row>
    <row r="1561" spans="1:32" x14ac:dyDescent="0.3">
      <c r="A1561" t="s">
        <v>967</v>
      </c>
      <c r="B1561" s="5">
        <v>70</v>
      </c>
      <c r="C1561" s="9">
        <v>1</v>
      </c>
      <c r="D1561" s="6">
        <v>1.4054813773717499E-4</v>
      </c>
      <c r="E1561" s="7">
        <v>9.8383696416022397E-3</v>
      </c>
      <c r="AF1561" t="str">
        <v>Staff: Taiiku Okazaki (Theme Song Performance (OP))</v>
      </c>
    </row>
    <row r="1562" spans="1:32" x14ac:dyDescent="0.3">
      <c r="A1562" t="s">
        <v>976</v>
      </c>
      <c r="B1562" s="5">
        <v>70</v>
      </c>
      <c r="C1562" s="9">
        <v>1</v>
      </c>
      <c r="D1562" s="6">
        <v>1.4054813773717499E-4</v>
      </c>
      <c r="E1562" s="7">
        <v>9.8383696416022397E-3</v>
      </c>
      <c r="AF1562" t="str">
        <v>Staff: Taiiku Okazaki (Theme Song Composition (OP))</v>
      </c>
    </row>
    <row r="1563" spans="1:32" x14ac:dyDescent="0.3">
      <c r="A1563" t="s">
        <v>977</v>
      </c>
      <c r="B1563" s="5">
        <v>70</v>
      </c>
      <c r="C1563" s="9">
        <v>1</v>
      </c>
      <c r="D1563" s="6">
        <v>1.4054813773717499E-4</v>
      </c>
      <c r="E1563" s="7">
        <v>9.8383696416022397E-3</v>
      </c>
      <c r="AF1563" t="str">
        <v>Staff: Taiiku Okazaki (Theme Song Arrangement (OP))</v>
      </c>
    </row>
    <row r="1564" spans="1:32" x14ac:dyDescent="0.3">
      <c r="A1564" t="s">
        <v>978</v>
      </c>
      <c r="B1564" s="5">
        <v>70</v>
      </c>
      <c r="C1564" s="9">
        <v>1</v>
      </c>
      <c r="D1564" s="6">
        <v>1.4054813773717499E-4</v>
      </c>
      <c r="E1564" s="7">
        <v>9.8383696416022397E-3</v>
      </c>
      <c r="AF1564" t="str">
        <v>Staff: Taiiku Okazaki (Theme Song Lyrics (OP))</v>
      </c>
    </row>
    <row r="1565" spans="1:32" x14ac:dyDescent="0.3">
      <c r="A1565" t="s">
        <v>979</v>
      </c>
      <c r="B1565" s="5">
        <v>70</v>
      </c>
      <c r="C1565" s="9">
        <v>1</v>
      </c>
      <c r="D1565" s="6">
        <v>1.4054813773717499E-4</v>
      </c>
      <c r="E1565" s="7">
        <v>9.8383696416022397E-3</v>
      </c>
      <c r="AF1565" t="str">
        <v>Staff: Yuri Sugano (Theme Song Performance (ED))</v>
      </c>
    </row>
    <row r="1566" spans="1:32" x14ac:dyDescent="0.3">
      <c r="A1566" t="s">
        <v>980</v>
      </c>
      <c r="B1566" s="5">
        <v>70</v>
      </c>
      <c r="C1566" s="9">
        <v>1</v>
      </c>
      <c r="D1566" s="6">
        <v>1.4054813773717499E-4</v>
      </c>
      <c r="E1566" s="7">
        <v>9.8383696416022397E-3</v>
      </c>
      <c r="AF1566" t="str">
        <v>Staff: Akiko Watanabe (Theme Song Lyrics (ED))</v>
      </c>
    </row>
    <row r="1567" spans="1:32" x14ac:dyDescent="0.3">
      <c r="A1567" t="s">
        <v>981</v>
      </c>
      <c r="B1567" s="5">
        <v>70</v>
      </c>
      <c r="C1567" s="9">
        <v>1</v>
      </c>
      <c r="D1567" s="6">
        <v>1.4054813773717499E-4</v>
      </c>
      <c r="E1567" s="7">
        <v>9.8383696416022397E-3</v>
      </c>
      <c r="AF1567" t="str">
        <v>Staff: Yuri Sugano (Theme Song Lyrics (ED))</v>
      </c>
    </row>
    <row r="1568" spans="1:32" x14ac:dyDescent="0.3">
      <c r="A1568" t="s">
        <v>983</v>
      </c>
      <c r="B1568" s="5">
        <v>70</v>
      </c>
      <c r="C1568" s="9">
        <v>1</v>
      </c>
      <c r="D1568" s="6">
        <v>1.4054813773717499E-4</v>
      </c>
      <c r="E1568" s="7">
        <v>9.8383696416022397E-3</v>
      </c>
      <c r="AF1568" t="str">
        <v>Staff: Manabu Takada (Theme Song Arrangement (ED))</v>
      </c>
    </row>
    <row r="1569" spans="1:32" x14ac:dyDescent="0.3">
      <c r="A1569" t="s">
        <v>984</v>
      </c>
      <c r="B1569" s="5">
        <v>70</v>
      </c>
      <c r="C1569" s="9">
        <v>1</v>
      </c>
      <c r="D1569" s="6">
        <v>1.4054813773717499E-4</v>
      </c>
      <c r="E1569" s="7">
        <v>9.8383696416022397E-3</v>
      </c>
      <c r="AF1569" t="str">
        <v>Staff: Misako Sakazume (Theme Song Composition (ED))</v>
      </c>
    </row>
    <row r="1570" spans="1:32" x14ac:dyDescent="0.3">
      <c r="A1570" t="s">
        <v>985</v>
      </c>
      <c r="B1570" s="5">
        <v>70</v>
      </c>
      <c r="C1570" s="9">
        <v>1</v>
      </c>
      <c r="D1570" s="6">
        <v>1.4054813773717499E-4</v>
      </c>
      <c r="E1570" s="7">
        <v>9.8383696416022397E-3</v>
      </c>
      <c r="AF1570" t="str">
        <v>=HYPERLINK("https://anilist.co/staff/114371","Staff: Sarah Emi Bridcutt (Insert Song Performance ("Jishozukuri no Uta: We Are Jisho-tans"; ep 4))")</v>
      </c>
    </row>
    <row r="1571" spans="1:32" x14ac:dyDescent="0.3">
      <c r="A1571" t="s">
        <v>986</v>
      </c>
      <c r="B1571" s="5">
        <v>70</v>
      </c>
      <c r="C1571" s="9">
        <v>1</v>
      </c>
      <c r="D1571" s="6">
        <v>1.4054813773717499E-4</v>
      </c>
      <c r="E1571" s="7">
        <v>9.8383696416022397E-3</v>
      </c>
      <c r="AF1571" t="str">
        <v>=HYPERLINK("https://anilist.co/staff/119959","Staff: Satsumi Matsuda (Insert Song Performance ("Jishozukuri no Uta: We Are Jisho-tans"; ep 4))")</v>
      </c>
    </row>
    <row r="1572" spans="1:32" x14ac:dyDescent="0.3">
      <c r="A1572" t="s">
        <v>987</v>
      </c>
      <c r="B1572" s="5">
        <v>70</v>
      </c>
      <c r="C1572" s="9">
        <v>1</v>
      </c>
      <c r="D1572" s="6">
        <v>1.4054813773717499E-4</v>
      </c>
      <c r="E1572" s="7">
        <v>9.8383696416022397E-3</v>
      </c>
      <c r="AF1572" t="str">
        <v>=HYPERLINK("https://anilist.co/staff/109251","Staff: You Taichi (Insert Song Performance ("Jishozukuri no Uta: We Are Jisho-tans"; ep 4))")</v>
      </c>
    </row>
    <row r="1573" spans="1:32" x14ac:dyDescent="0.3">
      <c r="A1573" t="s">
        <v>991</v>
      </c>
      <c r="B1573" s="5">
        <v>70</v>
      </c>
      <c r="C1573" s="9">
        <v>1</v>
      </c>
      <c r="D1573" s="6">
        <v>1.4054813773717499E-4</v>
      </c>
      <c r="E1573" s="7">
        <v>9.8383696416022397E-3</v>
      </c>
      <c r="AF1573" t="str">
        <v>=HYPERLINK("https://anilist.co/staff/109251","Staff: You Taichi (Insert Song Arrangment ("Jishozukuri no Uta: We Are Jisho-tans"; ep 4))")</v>
      </c>
    </row>
    <row r="1574" spans="1:32" x14ac:dyDescent="0.3">
      <c r="A1574" t="s">
        <v>992</v>
      </c>
      <c r="B1574" s="5">
        <v>70</v>
      </c>
      <c r="C1574" s="9">
        <v>1</v>
      </c>
      <c r="D1574" s="6">
        <v>1.4054813773717499E-4</v>
      </c>
      <c r="E1574" s="7">
        <v>9.8383696416022397E-3</v>
      </c>
      <c r="AF1574" t="str">
        <v>=HYPERLINK("https://anilist.co/staff/126076","Staff: Azuki Shibuya (Insert Song Composition ("Jishozukuri no Uta: We Are Jisho-tans"; ep 4))")</v>
      </c>
    </row>
    <row r="1575" spans="1:32" x14ac:dyDescent="0.3">
      <c r="A1575" t="s">
        <v>993</v>
      </c>
      <c r="B1575" s="5">
        <v>70</v>
      </c>
      <c r="C1575" s="9">
        <v>1</v>
      </c>
      <c r="D1575" s="6">
        <v>1.4054813773717499E-4</v>
      </c>
      <c r="E1575" s="7">
        <v>9.8383696416022397E-3</v>
      </c>
      <c r="AF1575" t="str">
        <v>=HYPERLINK("https://anilist.co/staff/131806","Staff: Taiiku Okazaki (Insert Song Performance ("Shiokaze"; ep 4))")</v>
      </c>
    </row>
    <row r="1576" spans="1:32" x14ac:dyDescent="0.3">
      <c r="A1576" t="s">
        <v>994</v>
      </c>
      <c r="B1576" s="5">
        <v>70</v>
      </c>
      <c r="C1576" s="9">
        <v>1</v>
      </c>
      <c r="D1576" s="6">
        <v>1.4054813773717499E-4</v>
      </c>
      <c r="E1576" s="7">
        <v>9.8383696416022397E-3</v>
      </c>
      <c r="AF1576" t="str">
        <v>Staff: Ryou Mizuno (Original Story)</v>
      </c>
    </row>
    <row r="1577" spans="1:32" x14ac:dyDescent="0.3">
      <c r="A1577" t="s">
        <v>995</v>
      </c>
      <c r="B1577" s="5">
        <v>70</v>
      </c>
      <c r="C1577" s="9">
        <v>1</v>
      </c>
      <c r="D1577" s="6">
        <v>1.4054813773717499E-4</v>
      </c>
      <c r="E1577" s="7">
        <v>9.8383696416022397E-3</v>
      </c>
      <c r="AF1577" t="str">
        <v>Staff: Miyuu  (Original Character Design)</v>
      </c>
    </row>
    <row r="1578" spans="1:32" x14ac:dyDescent="0.3">
      <c r="A1578" t="s">
        <v>996</v>
      </c>
      <c r="B1578" s="5">
        <v>70</v>
      </c>
      <c r="C1578" s="9">
        <v>1</v>
      </c>
      <c r="D1578" s="6">
        <v>1.4054813773717499E-4</v>
      </c>
      <c r="E1578" s="7">
        <v>9.8383696416022397E-3</v>
      </c>
      <c r="AF1578" t="str">
        <v>Staff: Mashiro Ayano (Theme Song Performance (OP1, ED2))</v>
      </c>
    </row>
    <row r="1579" spans="1:32" x14ac:dyDescent="0.3">
      <c r="A1579" t="s">
        <v>997</v>
      </c>
      <c r="B1579" s="5">
        <v>70</v>
      </c>
      <c r="C1579" s="9">
        <v>1</v>
      </c>
      <c r="D1579" s="6">
        <v>1.4054813773717499E-4</v>
      </c>
      <c r="E1579" s="7">
        <v>9.8383696416022397E-3</v>
      </c>
      <c r="AF1579" t="str">
        <v>Staff: ASCA  (Theme Song Performance (OP2, ED1))</v>
      </c>
    </row>
    <row r="1580" spans="1:32" x14ac:dyDescent="0.3">
      <c r="A1580" t="s">
        <v>998</v>
      </c>
      <c r="B1580" s="5">
        <v>70</v>
      </c>
      <c r="C1580" s="9">
        <v>1</v>
      </c>
      <c r="D1580" s="6">
        <v>1.4054813773717499E-4</v>
      </c>
      <c r="E1580" s="7">
        <v>9.8383696416022397E-3</v>
      </c>
      <c r="AF1580" t="str">
        <v>Staff: Tsubasa Itou (Theme Song Arrangement (OP1))</v>
      </c>
    </row>
    <row r="1581" spans="1:32" x14ac:dyDescent="0.3">
      <c r="A1581" t="s">
        <v>999</v>
      </c>
      <c r="B1581" s="5">
        <v>70</v>
      </c>
      <c r="C1581" s="9">
        <v>1</v>
      </c>
      <c r="D1581" s="6">
        <v>1.4054813773717499E-4</v>
      </c>
      <c r="E1581" s="7">
        <v>9.8383696416022397E-3</v>
      </c>
      <c r="AF1581" t="str">
        <v>Staff: Shinichi Omata (Director)</v>
      </c>
    </row>
    <row r="1582" spans="1:32" x14ac:dyDescent="0.3">
      <c r="A1582" t="s">
        <v>1000</v>
      </c>
      <c r="B1582" s="5">
        <v>70</v>
      </c>
      <c r="C1582" s="9">
        <v>1</v>
      </c>
      <c r="D1582" s="6">
        <v>1.4054813773717499E-4</v>
      </c>
      <c r="E1582" s="7">
        <v>9.8383696416022397E-3</v>
      </c>
      <c r="AF1582" t="str">
        <v>Staff: Ryou Mizuno (Series Composition)</v>
      </c>
    </row>
    <row r="1583" spans="1:32" x14ac:dyDescent="0.3">
      <c r="A1583" t="s">
        <v>1001</v>
      </c>
      <c r="B1583" s="5">
        <v>70</v>
      </c>
      <c r="C1583" s="9">
        <v>1</v>
      </c>
      <c r="D1583" s="6">
        <v>1.4054813773717499E-4</v>
      </c>
      <c r="E1583" s="7">
        <v>9.8383696416022397E-3</v>
      </c>
      <c r="AF1583" t="str">
        <v>Staff: Yuuko Yahiro (Sub Character Design)</v>
      </c>
    </row>
    <row r="1584" spans="1:32" x14ac:dyDescent="0.3">
      <c r="A1584" t="str">
        <f>HYPERLINK("https://anilist.co/staff/106106","Staff: Asato Mizu (Original Creator)")</f>
        <v>Staff: Asato Mizu (Original Creator)</v>
      </c>
      <c r="B1584" s="5">
        <v>70</v>
      </c>
      <c r="C1584" s="9">
        <v>1</v>
      </c>
      <c r="D1584" s="6">
        <v>1.4054813773717499E-4</v>
      </c>
      <c r="E1584" s="7">
        <v>9.8383696416022397E-3</v>
      </c>
      <c r="AF1584" t="str">
        <v>Staff: Hiroyuki Taiga (Creature Design)</v>
      </c>
    </row>
    <row r="1585" spans="1:32" x14ac:dyDescent="0.3">
      <c r="A1585" t="str">
        <f>HYPERLINK("https://anilist.co/staff/101555","Staff: Satoru Kousaki (Music)")</f>
        <v>Staff: Satoru Kousaki (Music)</v>
      </c>
      <c r="B1585" s="5">
        <v>70</v>
      </c>
      <c r="C1585" s="9">
        <v>1</v>
      </c>
      <c r="D1585" s="6">
        <v>1.4054813773717499E-4</v>
      </c>
      <c r="E1585" s="7">
        <v>9.8383696416022397E-3</v>
      </c>
      <c r="AF1585" t="str">
        <v>Staff: Hiroshi Yakou (Chief Animation Director (eps 1, 4, 5, 8, 9, 12-16, 18-22, 24))</v>
      </c>
    </row>
    <row r="1586" spans="1:32" x14ac:dyDescent="0.3">
      <c r="A1586" t="str">
        <f>HYPERLINK("https://anilist.co/staff/127370","Staff: Yuuko Yahiro (Character Design)")</f>
        <v>Staff: Yuuko Yahiro (Character Design)</v>
      </c>
      <c r="B1586" s="5">
        <v>70</v>
      </c>
      <c r="C1586" s="9">
        <v>1</v>
      </c>
      <c r="D1586" s="6">
        <v>1.4054813773717499E-4</v>
      </c>
      <c r="E1586" s="7">
        <v>9.8383696416022397E-3</v>
      </c>
      <c r="AF1586" t="str">
        <v>Staff: Kazunori Ozawa (Action Director (ep 13))</v>
      </c>
    </row>
    <row r="1587" spans="1:32" x14ac:dyDescent="0.3">
      <c r="A1587" t="str">
        <f>HYPERLINK("https://anilist.co/staff/107517","Staff: Yasutaka Yamamoto (Chief Director)")</f>
        <v>Staff: Yasutaka Yamamoto (Chief Director)</v>
      </c>
      <c r="B1587" s="5">
        <v>70</v>
      </c>
      <c r="C1587" s="9">
        <v>1</v>
      </c>
      <c r="D1587" s="6">
        <v>1.4054813773717499E-4</v>
      </c>
      <c r="E1587" s="7">
        <v>9.8383696416022397E-3</v>
      </c>
      <c r="AF1587" t="str">
        <v>Staff: Keisuke Furuichi (Action Director (eps 1, 5, 10, 15, 20))</v>
      </c>
    </row>
    <row r="1588" spans="1:32" x14ac:dyDescent="0.3">
      <c r="A1588" t="str">
        <f>HYPERLINK("https://anilist.co/staff/148939","Staff: Tomoe Makino (Director)")</f>
        <v>Staff: Tomoe Makino (Director)</v>
      </c>
      <c r="B1588" s="5">
        <v>70</v>
      </c>
      <c r="C1588" s="9">
        <v>1</v>
      </c>
      <c r="D1588" s="6">
        <v>1.4054813773717499E-4</v>
      </c>
      <c r="E1588" s="7">
        <v>9.8383696416022397E-3</v>
      </c>
      <c r="AF1588" t="str">
        <v>Staff: Ryou Kujirai (Director of Photography)</v>
      </c>
    </row>
    <row r="1589" spans="1:32" x14ac:dyDescent="0.3">
      <c r="A1589" t="str">
        <f>HYPERLINK("https://anilist.co/staff/124174","Staff: Ayumu Hisao (Script (eps 2, 5, 8))")</f>
        <v>Staff: Ayumu Hisao (Script (eps 2, 5, 8))</v>
      </c>
      <c r="B1589" s="5">
        <v>70</v>
      </c>
      <c r="C1589" s="9">
        <v>1</v>
      </c>
      <c r="D1589" s="6">
        <v>1.4054813773717499E-4</v>
      </c>
      <c r="E1589" s="7">
        <v>9.8383696416022397E-3</v>
      </c>
      <c r="AF1589" t="str">
        <v>Staff: Yasuhiro Nakajima (Producer)</v>
      </c>
    </row>
    <row r="1590" spans="1:32" x14ac:dyDescent="0.3">
      <c r="A1590" t="str">
        <f>HYPERLINK("https://anilist.co/staff/109787","Staff: Takao Yoshioka (Script (eps 1, 4, 7))")</f>
        <v>Staff: Takao Yoshioka (Script (eps 1, 4, 7))</v>
      </c>
      <c r="B1590" s="5">
        <v>70</v>
      </c>
      <c r="C1590" s="9">
        <v>1</v>
      </c>
      <c r="D1590" s="6">
        <v>1.4054813773717499E-4</v>
      </c>
      <c r="E1590" s="7">
        <v>9.8383696416022397E-3</v>
      </c>
      <c r="AF1590" t="str">
        <v>Staff: Muneo Nakamoto  (Script (eps 1, 3, 9, 10, 15-17, 19, 21-24))</v>
      </c>
    </row>
    <row r="1591" spans="1:32" x14ac:dyDescent="0.3">
      <c r="A1591" t="str">
        <f>HYPERLINK("https://anilist.co/staff/136902","Staff: Yuuki Fukuchi  (Chief Animation Director (eps 3, 6))")</f>
        <v>Staff: Yuuki Fukuchi  (Chief Animation Director (eps 3, 6))</v>
      </c>
      <c r="B1591" s="5">
        <v>70</v>
      </c>
      <c r="C1591" s="9">
        <v>1</v>
      </c>
      <c r="D1591" s="6">
        <v>1.4054813773717499E-4</v>
      </c>
      <c r="E1591" s="7">
        <v>9.8383696416022397E-3</v>
      </c>
      <c r="AF1591" t="str">
        <v>Staff: Tomoyuki Oowada (Producer)</v>
      </c>
    </row>
    <row r="1592" spans="1:32" x14ac:dyDescent="0.3">
      <c r="A1592" t="str">
        <f>HYPERLINK("https://anilist.co/staff/127370","Staff: Yuuko Yahiro (Chief Animation Director (OP, ED, ep 1))")</f>
        <v>Staff: Yuuko Yahiro (Chief Animation Director (OP, ED, ep 1))</v>
      </c>
      <c r="B1592" s="5">
        <v>70</v>
      </c>
      <c r="C1592" s="9">
        <v>1</v>
      </c>
      <c r="D1592" s="6">
        <v>1.4054813773717499E-4</v>
      </c>
      <c r="E1592" s="7">
        <v>9.8383696416022397E-3</v>
      </c>
      <c r="AF1592" t="str">
        <v>Staff: Shunsaku Yano (Series Composition)</v>
      </c>
    </row>
    <row r="1593" spans="1:32" x14ac:dyDescent="0.3">
      <c r="A1593" t="str">
        <f>HYPERLINK("https://anilist.co/staff/148677","Staff: Chie Mishima (Chief Animation Director (eps 2, 5, 8))")</f>
        <v>Staff: Chie Mishima (Chief Animation Director (eps 2, 5, 8))</v>
      </c>
      <c r="B1593" s="5">
        <v>70</v>
      </c>
      <c r="C1593" s="9">
        <v>1</v>
      </c>
      <c r="D1593" s="6">
        <v>1.4054813773717499E-4</v>
      </c>
      <c r="E1593" s="7">
        <v>9.8383696416022397E-3</v>
      </c>
      <c r="AF1593" t="str">
        <v>Staff: Takayuki Kidou (Prop Design)</v>
      </c>
    </row>
    <row r="1594" spans="1:32" x14ac:dyDescent="0.3">
      <c r="A1594" t="str">
        <f>HYPERLINK("https://anilist.co/staff/123983","Staff: Tomoko Iwasa (Chief Animation Director (eps 1, 4))")</f>
        <v>Staff: Tomoko Iwasa (Chief Animation Director (eps 1, 4))</v>
      </c>
      <c r="B1594" s="5">
        <v>70</v>
      </c>
      <c r="C1594" s="9">
        <v>1</v>
      </c>
      <c r="D1594" s="6">
        <v>1.4054813773717499E-4</v>
      </c>
      <c r="E1594" s="7">
        <v>9.8383696416022397E-3</v>
      </c>
      <c r="AF1594" t="str">
        <v>Staff: Shinobu Nishioka (Action Director (eps 2, 3, 9, 12, 14))</v>
      </c>
    </row>
    <row r="1595" spans="1:32" x14ac:dyDescent="0.3">
      <c r="A1595" t="str">
        <f>HYPERLINK("https://anilist.co/staff/189756","Staff: Kenichi Kurata (Art Director)")</f>
        <v>Staff: Kenichi Kurata (Art Director)</v>
      </c>
      <c r="B1595" s="5">
        <v>70</v>
      </c>
      <c r="C1595" s="9">
        <v>1</v>
      </c>
      <c r="D1595" s="6">
        <v>1.4054813773717499E-4</v>
      </c>
      <c r="E1595" s="7">
        <v>9.8383696416022397E-3</v>
      </c>
      <c r="AF1595" t="str">
        <v>Staff: Kenichi Morioka (Design Works)</v>
      </c>
    </row>
    <row r="1596" spans="1:32" x14ac:dyDescent="0.3">
      <c r="A1596" t="str">
        <f>HYPERLINK("https://anilist.co/staff/121968","Staff: Chiharu Tanaka (Color Design)")</f>
        <v>Staff: Chiharu Tanaka (Color Design)</v>
      </c>
      <c r="B1596" s="5">
        <v>70</v>
      </c>
      <c r="C1596" s="9">
        <v>1</v>
      </c>
      <c r="D1596" s="6">
        <v>1.4054813773717499E-4</v>
      </c>
      <c r="E1596" s="7">
        <v>9.8383696416022397E-3</v>
      </c>
      <c r="AF1596" t="str">
        <v>Staff: Hitomi Sano (Color Design)</v>
      </c>
    </row>
    <row r="1597" spans="1:32" x14ac:dyDescent="0.3">
      <c r="A1597" t="str">
        <f>HYPERLINK("https://anilist.co/staff/163908","Staff: Kazuya Iwai (Director of Photography)")</f>
        <v>Staff: Kazuya Iwai (Director of Photography)</v>
      </c>
      <c r="B1597" s="5">
        <v>70</v>
      </c>
      <c r="C1597" s="9">
        <v>1</v>
      </c>
      <c r="D1597" s="6">
        <v>1.4054813773717499E-4</v>
      </c>
      <c r="E1597" s="7">
        <v>9.8383696416022397E-3</v>
      </c>
      <c r="AF1597" t="str">
        <v>Staff: Keisuke Furuichi (Action Animation Director (eps 1-24))</v>
      </c>
    </row>
    <row r="1598" spans="1:32" x14ac:dyDescent="0.3">
      <c r="A1598" t="str">
        <f>HYPERLINK("https://anilist.co/staff/182726","Staff: Minori Kimura (Special Effects)")</f>
        <v>Staff: Minori Kimura (Special Effects)</v>
      </c>
      <c r="B1598" s="5">
        <v>70</v>
      </c>
      <c r="C1598" s="9">
        <v>1</v>
      </c>
      <c r="D1598" s="6">
        <v>1.4054813773717499E-4</v>
      </c>
      <c r="E1598" s="7">
        <v>9.8383696416022397E-3</v>
      </c>
      <c r="AF1598" t="str">
        <v>Staff: Takashi Torii (Main Animator)</v>
      </c>
    </row>
    <row r="1599" spans="1:32" x14ac:dyDescent="0.3">
      <c r="A1599" t="str">
        <f>HYPERLINK("https://anilist.co/staff/119893","Staff: Nobuyuki Abe (Sound Director)")</f>
        <v>Staff: Nobuyuki Abe (Sound Director)</v>
      </c>
      <c r="B1599" s="5">
        <v>70</v>
      </c>
      <c r="C1599" s="9">
        <v>1</v>
      </c>
      <c r="D1599" s="6">
        <v>1.4054813773717499E-4</v>
      </c>
      <c r="E1599" s="7">
        <v>9.8383696416022397E-3</v>
      </c>
      <c r="AF1599" t="str">
        <v>Staff: Yuuko Yahiro (Chief Animation Director (eps 2, 3, 6, 7, 10, 21))</v>
      </c>
    </row>
    <row r="1600" spans="1:32" x14ac:dyDescent="0.3">
      <c r="A1600" t="str">
        <f>HYPERLINK("https://anilist.co/staff/150449","Staff: Kouichirou Natsume (Executive Producer)")</f>
        <v>Staff: Kouichirou Natsume (Executive Producer)</v>
      </c>
      <c r="B1600" s="5">
        <v>70</v>
      </c>
      <c r="C1600" s="9">
        <v>1</v>
      </c>
      <c r="D1600" s="6">
        <v>1.4054813773717499E-4</v>
      </c>
      <c r="E1600" s="7">
        <v>9.8383696416022397E-3</v>
      </c>
      <c r="AF1600" t="str">
        <v>Staff: Jun Maeda (Original Creator)</v>
      </c>
    </row>
    <row r="1601" spans="1:32" x14ac:dyDescent="0.3">
      <c r="A1601" t="str">
        <f>HYPERLINK("https://anilist.co/staff/259654","Staff: Kiyomi Yamada (Editing)")</f>
        <v>Staff: Kiyomi Yamada (Editing)</v>
      </c>
      <c r="B1601" s="5">
        <v>70</v>
      </c>
      <c r="C1601" s="9">
        <v>1</v>
      </c>
      <c r="D1601" s="6">
        <v>1.4054813773717499E-4</v>
      </c>
      <c r="E1601" s="7">
        <v>9.8383696416022397E-3</v>
      </c>
      <c r="AF1601" t="str">
        <v>Staff:  Na-Ga (Original Character Design)</v>
      </c>
    </row>
    <row r="1602" spans="1:32" x14ac:dyDescent="0.3">
      <c r="A1602" t="str">
        <f>HYPERLINK("https://anilist.co/staff/259655","Staff: Ryou Aizawa (Producer)")</f>
        <v>Staff: Ryou Aizawa (Producer)</v>
      </c>
      <c r="B1602" s="5">
        <v>70</v>
      </c>
      <c r="C1602" s="9">
        <v>1</v>
      </c>
      <c r="D1602" s="6">
        <v>1.4054813773717499E-4</v>
      </c>
      <c r="E1602" s="7">
        <v>9.8383696416022397E-3</v>
      </c>
      <c r="AF1602" t="str">
        <v>Staff: Jun Maeda (Script)</v>
      </c>
    </row>
    <row r="1603" spans="1:32" x14ac:dyDescent="0.3">
      <c r="A1603" t="str">
        <f>HYPERLINK("https://anilist.co/staff/144938","Staff: TrySail (Theme Song Performance (OP))")</f>
        <v>Staff: TrySail (Theme Song Performance (OP))</v>
      </c>
      <c r="B1603" s="5">
        <v>70</v>
      </c>
      <c r="C1603" s="9">
        <v>1</v>
      </c>
      <c r="D1603" s="6">
        <v>1.4054813773717499E-4</v>
      </c>
      <c r="E1603" s="7">
        <v>9.8383696416022397E-3</v>
      </c>
      <c r="AF1603" t="str">
        <v>Staff: Yoshiyuki Asai (Director)</v>
      </c>
    </row>
    <row r="1604" spans="1:32" x14ac:dyDescent="0.3">
      <c r="A1604" t="str">
        <f>HYPERLINK("https://anilist.co/staff/262082","Staff: HaKoniwalily (Theme Song Performance (ED))")</f>
        <v>Staff: HaKoniwalily (Theme Song Performance (ED))</v>
      </c>
      <c r="B1604" s="5">
        <v>70</v>
      </c>
      <c r="C1604" s="9">
        <v>1</v>
      </c>
      <c r="D1604" s="6">
        <v>1.4054813773717499E-4</v>
      </c>
      <c r="E1604" s="7">
        <v>9.8383696416022397E-3</v>
      </c>
      <c r="AF1604" t="str">
        <v>Staff: Manabu Nii (Chief Animation Director)</v>
      </c>
    </row>
    <row r="1605" spans="1:32" x14ac:dyDescent="0.3">
      <c r="A1605" t="str">
        <f>HYPERLINK("https://anilist.co/staff/128531","Staff: Emily  Fajardo (ADR Director (English))")</f>
        <v>Staff: Emily  Fajardo (ADR Director (English))</v>
      </c>
      <c r="B1605" s="5">
        <v>70</v>
      </c>
      <c r="C1605" s="9">
        <v>1</v>
      </c>
      <c r="D1605" s="6">
        <v>1.4054813773717499E-4</v>
      </c>
      <c r="E1605" s="7">
        <v>9.8383696416022397E-3</v>
      </c>
      <c r="AF1605" t="str">
        <v>Staff: Manabu Nii (Character Design)</v>
      </c>
    </row>
    <row r="1606" spans="1:32" x14ac:dyDescent="0.3">
      <c r="A1606" t="str">
        <f>HYPERLINK("https://anilist.co/staff/269724","Staff: Noah Whitehead (Assistant ADR Engineer (English))")</f>
        <v>Staff: Noah Whitehead (Assistant ADR Engineer (English))</v>
      </c>
      <c r="B1606" s="5">
        <v>70</v>
      </c>
      <c r="C1606" s="9">
        <v>1</v>
      </c>
      <c r="D1606" s="6">
        <v>1.4054813773717499E-4</v>
      </c>
      <c r="E1606" s="7">
        <v>9.8383696416022397E-3</v>
      </c>
      <c r="AF1606" t="str">
        <v>Staff: Yukiyo Kajiwara (Director of Photography)</v>
      </c>
    </row>
    <row r="1607" spans="1:32" x14ac:dyDescent="0.3">
      <c r="A1607" t="str">
        <f>HYPERLINK("https://anilist.co/staff/107655","Staff: Keizou Kusakawa (Chief Director)")</f>
        <v>Staff: Keizou Kusakawa (Chief Director)</v>
      </c>
      <c r="B1607" s="5">
        <v>70</v>
      </c>
      <c r="C1607" s="9">
        <v>1</v>
      </c>
      <c r="D1607" s="6">
        <v>1.4054813773717499E-4</v>
      </c>
      <c r="E1607" s="7">
        <v>9.8383696416022397E-3</v>
      </c>
      <c r="AF1607" t="str">
        <v>Staff: Kurumi Suzuki (Art Director)</v>
      </c>
    </row>
    <row r="1608" spans="1:32" x14ac:dyDescent="0.3">
      <c r="A1608" t="str">
        <f>HYPERLINK("https://anilist.co/staff/97785","Staff: Hiroyuki  (Original Creator)")</f>
        <v>Staff: Hiroyuki  (Original Creator)</v>
      </c>
      <c r="B1608" s="5">
        <v>70</v>
      </c>
      <c r="C1608" s="9">
        <v>1</v>
      </c>
      <c r="D1608" s="6">
        <v>1.4054813773717499E-4</v>
      </c>
      <c r="E1608" s="7">
        <v>9.8383696416022397E-3</v>
      </c>
      <c r="AF1608" t="str">
        <v>Staff: Naomi Nakano (Color Design)</v>
      </c>
    </row>
    <row r="1609" spans="1:32" x14ac:dyDescent="0.3">
      <c r="A1609" t="str">
        <f>HYPERLINK("https://anilist.co/staff/121251","Staff: Shingo Tamaki (Director)")</f>
        <v>Staff: Shingo Tamaki (Director)</v>
      </c>
      <c r="B1609" s="5">
        <v>70</v>
      </c>
      <c r="C1609" s="9">
        <v>1</v>
      </c>
      <c r="D1609" s="6">
        <v>1.4054813773717499E-4</v>
      </c>
      <c r="E1609" s="7">
        <v>9.8383696416022397E-3</v>
      </c>
      <c r="AF1609" t="str">
        <v>Staff: Ayumu Takahashi (Editing)</v>
      </c>
    </row>
    <row r="1610" spans="1:32" x14ac:dyDescent="0.3">
      <c r="A1610" t="str">
        <f>HYPERLINK("https://anilist.co/staff/102516","Staff:  angela (Theme Song Performance (OP))")</f>
        <v>Staff:  angela (Theme Song Performance (OP))</v>
      </c>
      <c r="B1610" s="5">
        <v>70</v>
      </c>
      <c r="C1610" s="9">
        <v>1</v>
      </c>
      <c r="D1610" s="6">
        <v>1.4054813773717499E-4</v>
      </c>
      <c r="E1610" s="7">
        <v>9.8383696416022397E-3</v>
      </c>
      <c r="AF1610" t="str">
        <v>Staff: Haruki Suzuki (CG Director)</v>
      </c>
    </row>
    <row r="1611" spans="1:32" x14ac:dyDescent="0.3">
      <c r="A1611" t="str">
        <f>HYPERLINK("https://anilist.co/staff/109441","Staff: Sumire Uesaka (Theme Song Performance (ED))")</f>
        <v>Staff: Sumire Uesaka (Theme Song Performance (ED))</v>
      </c>
      <c r="B1611" s="5">
        <v>70</v>
      </c>
      <c r="C1611" s="9">
        <v>1</v>
      </c>
      <c r="D1611" s="6">
        <v>1.4054813773717499E-4</v>
      </c>
      <c r="E1611" s="7">
        <v>9.8383696416022397E-3</v>
      </c>
      <c r="AF1611" t="str">
        <v>Staff: Tomomi Teratani (Music)</v>
      </c>
    </row>
    <row r="1612" spans="1:32" x14ac:dyDescent="0.3">
      <c r="A1612" t="str">
        <f>HYPERLINK("https://anilist.co/staff/144389","Staff: Toshihiko Kojima (Editing)")</f>
        <v>Staff: Toshihiko Kojima (Editing)</v>
      </c>
      <c r="B1612" s="5">
        <v>70</v>
      </c>
      <c r="C1612" s="9">
        <v>1</v>
      </c>
      <c r="D1612" s="6">
        <v>1.4054813773717499E-4</v>
      </c>
      <c r="E1612" s="7">
        <v>9.8383696416022397E-3</v>
      </c>
      <c r="AF1612" t="str">
        <v>Staff: yanaginagi  (Theme Song Performance (OP))</v>
      </c>
    </row>
    <row r="1613" spans="1:32" x14ac:dyDescent="0.3">
      <c r="A1613" t="str">
        <f>HYPERLINK("https://anilist.co/staff/148484","Staff: Tsukasa Ohira (Art Design)")</f>
        <v>Staff: Tsukasa Ohira (Art Design)</v>
      </c>
      <c r="B1613" s="5">
        <v>70</v>
      </c>
      <c r="C1613" s="9">
        <v>1</v>
      </c>
      <c r="D1613" s="6">
        <v>1.4054813773717499E-4</v>
      </c>
      <c r="E1613" s="7">
        <v>9.8383696416022397E-3</v>
      </c>
      <c r="AF1613" t="str">
        <v>Staff: Tomomi Teratani (Theme Song Arrangement (OP))</v>
      </c>
    </row>
    <row r="1614" spans="1:32" x14ac:dyDescent="0.3">
      <c r="A1614" t="str">
        <f>HYPERLINK("https://anilist.co/staff/134738","Staff: Yasuyuki Itou (Photography)")</f>
        <v>Staff: Yasuyuki Itou (Photography)</v>
      </c>
      <c r="B1614" s="5">
        <v>70</v>
      </c>
      <c r="C1614" s="9">
        <v>1</v>
      </c>
      <c r="D1614" s="6">
        <v>1.4054813773717499E-4</v>
      </c>
      <c r="E1614" s="7">
        <v>9.8383696416022397E-3</v>
      </c>
      <c r="AF1614" t="str">
        <v>Staff: Takahiro Baba (Original Story Assistance)</v>
      </c>
    </row>
    <row r="1615" spans="1:32" x14ac:dyDescent="0.3">
      <c r="A1615" t="str">
        <f>HYPERLINK("https://anilist.co/staff/103837","Staff: Takashi Aoshima (Script)")</f>
        <v>Staff: Takashi Aoshima (Script)</v>
      </c>
      <c r="B1615" s="5">
        <v>70</v>
      </c>
      <c r="C1615" s="9">
        <v>1</v>
      </c>
      <c r="D1615" s="6">
        <v>1.4054813773717499E-4</v>
      </c>
      <c r="E1615" s="7">
        <v>9.8383696416022397E-3</v>
      </c>
      <c r="AF1615" t="str">
        <v>Staff:  Key (Production Committee)</v>
      </c>
    </row>
    <row r="1616" spans="1:32" x14ac:dyDescent="0.3">
      <c r="A1616" t="str">
        <f>HYPERLINK("https://anilist.co/staff/151868","Staff: Shuuji Uemura (Color Design)")</f>
        <v>Staff: Shuuji Uemura (Color Design)</v>
      </c>
      <c r="B1616" s="5">
        <v>70</v>
      </c>
      <c r="C1616" s="9">
        <v>1</v>
      </c>
      <c r="D1616" s="6">
        <v>1.4054813773717499E-4</v>
      </c>
      <c r="E1616" s="7">
        <v>9.8383696416022397E-3</v>
      </c>
      <c r="AF1616" t="str">
        <v>Staff: Clifford Chapin (ADR Director (English; eps 1-7, 10))</v>
      </c>
    </row>
    <row r="1617" spans="1:32" x14ac:dyDescent="0.3">
      <c r="A1617" t="str">
        <f>HYPERLINK("https://anilist.co/staff/121251","Staff: Shingo Tamaki (Storyboard (OP, eps 1, 2, 10-12))")</f>
        <v>Staff: Shingo Tamaki (Storyboard (OP, eps 1, 2, 10-12))</v>
      </c>
      <c r="B1617" s="5">
        <v>70</v>
      </c>
      <c r="C1617" s="9">
        <v>1</v>
      </c>
      <c r="D1617" s="6">
        <v>1.4054813773717499E-4</v>
      </c>
      <c r="E1617" s="7">
        <v>9.8383696416022397E-3</v>
      </c>
      <c r="AF1617" t="str">
        <v>Staff: Caitlin Glass (ADR Director (English; eps 8, 9, 11, 12))</v>
      </c>
    </row>
    <row r="1618" spans="1:32" x14ac:dyDescent="0.3">
      <c r="A1618" t="str">
        <f>HYPERLINK("https://anilist.co/staff/101186","Staff: Takayuki Inagaki (Storyboard (eps 3, 7))")</f>
        <v>Staff: Takayuki Inagaki (Storyboard (eps 3, 7))</v>
      </c>
      <c r="B1618" s="5">
        <v>70</v>
      </c>
      <c r="C1618" s="9">
        <v>1</v>
      </c>
      <c r="D1618" s="6">
        <v>1.4054813773717499E-4</v>
      </c>
      <c r="E1618" s="7">
        <v>9.8383696416022397E-3</v>
      </c>
      <c r="AF1618" t="str">
        <v>Staff: Yousuke Toba (Producer)</v>
      </c>
    </row>
    <row r="1619" spans="1:32" x14ac:dyDescent="0.3">
      <c r="A1619" t="str">
        <f>HYPERLINK("https://anilist.co/staff/124671","Staff: Sorato Shimizu (Storyboard (eps 5, 6, 8))")</f>
        <v>Staff: Sorato Shimizu (Storyboard (eps 5, 6, 8))</v>
      </c>
      <c r="B1619" s="5">
        <v>70</v>
      </c>
      <c r="C1619" s="9">
        <v>1</v>
      </c>
      <c r="D1619" s="6">
        <v>1.4054813773717499E-4</v>
      </c>
      <c r="E1619" s="7">
        <v>9.8383696416022397E-3</v>
      </c>
      <c r="AF1619" t="str">
        <v>Staff: Tomoyuki Oowada (Associate Producer)</v>
      </c>
    </row>
    <row r="1620" spans="1:32" x14ac:dyDescent="0.3">
      <c r="A1620" t="str">
        <f>HYPERLINK("https://anilist.co/staff/129200","Staff: Shouta Ibata (Storyboard (eps 4, 9))")</f>
        <v>Staff: Shouta Ibata (Storyboard (eps 4, 9))</v>
      </c>
      <c r="B1620" s="5">
        <v>70</v>
      </c>
      <c r="C1620" s="9">
        <v>1</v>
      </c>
      <c r="D1620" s="6">
        <v>1.4054813773717499E-4</v>
      </c>
      <c r="E1620" s="7">
        <v>9.8383696416022397E-3</v>
      </c>
      <c r="AF1620" t="str">
        <v>Staff: Kozue Kananiwa (Associate Producer)</v>
      </c>
    </row>
    <row r="1621" spans="1:32" x14ac:dyDescent="0.3">
      <c r="A1621" t="str">
        <f>HYPERLINK("https://anilist.co/staff/151871","Staff: Takuma Suzuki (Episode Director (ep 7))")</f>
        <v>Staff: Takuma Suzuki (Episode Director (ep 7))</v>
      </c>
      <c r="B1621" s="5">
        <v>70</v>
      </c>
      <c r="C1621" s="9">
        <v>1</v>
      </c>
      <c r="D1621" s="6">
        <v>1.4054813773717499E-4</v>
      </c>
      <c r="E1621" s="7">
        <v>9.8383696416022397E-3</v>
      </c>
      <c r="AF1621" t="str">
        <v>Staff: Soborou  (Original Creator)</v>
      </c>
    </row>
    <row r="1622" spans="1:32" x14ac:dyDescent="0.3">
      <c r="A1622" t="str">
        <f>HYPERLINK("https://anilist.co/staff/121251","Staff: Shingo Tamaki (Episode Director (eps 1, 10-12))")</f>
        <v>Staff: Shingo Tamaki (Episode Director (eps 1, 10-12))</v>
      </c>
      <c r="B1622" s="5">
        <v>70</v>
      </c>
      <c r="C1622" s="9">
        <v>1</v>
      </c>
      <c r="D1622" s="6">
        <v>1.4054813773717499E-4</v>
      </c>
      <c r="E1622" s="7">
        <v>9.8383696416022397E-3</v>
      </c>
      <c r="AF1622" t="str">
        <v>Staff: Hiraku Kaneko (Chief Director)</v>
      </c>
    </row>
    <row r="1623" spans="1:32" x14ac:dyDescent="0.3">
      <c r="A1623" t="str">
        <f>HYPERLINK("https://anilist.co/staff/151867","Staff: Ageha Kochouran (Episode Director (eps 6, 8))")</f>
        <v>Staff: Ageha Kochouran (Episode Director (eps 6, 8))</v>
      </c>
      <c r="B1623" s="5">
        <v>70</v>
      </c>
      <c r="C1623" s="9">
        <v>1</v>
      </c>
      <c r="D1623" s="6">
        <v>1.4054813773717499E-4</v>
      </c>
      <c r="E1623" s="7">
        <v>9.8383696416022397E-3</v>
      </c>
      <c r="AF1623" t="str">
        <v>Staff: Kazuhiko Tamura (Character Design)</v>
      </c>
    </row>
    <row r="1624" spans="1:32" x14ac:dyDescent="0.3">
      <c r="A1624" t="str">
        <f>HYPERLINK("https://anilist.co/staff/129200","Staff: Shouta Ibata (Episode Director (eps 4, 9))")</f>
        <v>Staff: Shouta Ibata (Episode Director (eps 4, 9))</v>
      </c>
      <c r="B1624" s="5">
        <v>70</v>
      </c>
      <c r="C1624" s="9">
        <v>1</v>
      </c>
      <c r="D1624" s="6">
        <v>1.4054813773717499E-4</v>
      </c>
      <c r="E1624" s="7">
        <v>9.8383696416022397E-3</v>
      </c>
      <c r="AF1624" t="str">
        <v>Staff: Sumire Uesaka (Theme Song Performance (OP))</v>
      </c>
    </row>
    <row r="1625" spans="1:32" x14ac:dyDescent="0.3">
      <c r="A1625" t="str">
        <f>HYPERLINK("https://anilist.co/staff/124671","Staff: Sorato Shimizu (Episode Director (eps 5, 8))")</f>
        <v>Staff: Sorato Shimizu (Episode Director (eps 5, 8))</v>
      </c>
      <c r="B1625" s="5">
        <v>70</v>
      </c>
      <c r="C1625" s="9">
        <v>1</v>
      </c>
      <c r="D1625" s="6">
        <v>1.4054813773717499E-4</v>
      </c>
      <c r="E1625" s="7">
        <v>9.8383696416022397E-3</v>
      </c>
      <c r="AF1625" t="str">
        <v>Staff: Kazuhiko Tamura (Chief Animation Director)</v>
      </c>
    </row>
    <row r="1626" spans="1:32" x14ac:dyDescent="0.3">
      <c r="A1626" t="str">
        <f>HYPERLINK("https://anilist.co/staff/151869","Staff: Tenpei Mishio (Episode Director (eps 2, 10))")</f>
        <v>Staff: Tenpei Mishio (Episode Director (eps 2, 10))</v>
      </c>
      <c r="B1626" s="5">
        <v>70</v>
      </c>
      <c r="C1626" s="9">
        <v>1</v>
      </c>
      <c r="D1626" s="6">
        <v>1.4054813773717499E-4</v>
      </c>
      <c r="E1626" s="7">
        <v>9.8383696416022397E-3</v>
      </c>
      <c r="AF1626" t="str">
        <v>Staff: Hiroto Morishita (Sound Director)</v>
      </c>
    </row>
    <row r="1627" spans="1:32" x14ac:dyDescent="0.3">
      <c r="A1627" t="str">
        <f>HYPERLINK("https://anilist.co/staff/96939","Staff: Kiyohiko Azuma (Original Creator)")</f>
        <v>Staff: Kiyohiko Azuma (Original Creator)</v>
      </c>
      <c r="B1627" s="5">
        <v>70</v>
      </c>
      <c r="C1627" s="9">
        <v>1</v>
      </c>
      <c r="D1627" s="6">
        <v>1.4054813773717499E-4</v>
      </c>
      <c r="E1627" s="7">
        <v>9.8383696416022397E-3</v>
      </c>
      <c r="AF1627" t="str">
        <v>Staff: Yuuki Takabayashi (Script)</v>
      </c>
    </row>
    <row r="1628" spans="1:32" x14ac:dyDescent="0.3">
      <c r="A1628" t="str">
        <f>HYPERLINK("https://anilist.co/staff/98067","Staff: Ichirou Ookouchi (Script (1, 8, 12))")</f>
        <v>Staff: Ichirou Ookouchi (Script (1, 8, 12))</v>
      </c>
      <c r="B1628" s="5">
        <v>70</v>
      </c>
      <c r="C1628" s="9">
        <v>1</v>
      </c>
      <c r="D1628" s="6">
        <v>1.4054813773717499E-4</v>
      </c>
      <c r="E1628" s="7">
        <v>9.8383696416022397E-3</v>
      </c>
      <c r="AF1628" t="str">
        <v>Staff: Toshikatsu Tokoro (Storyboard (OP,ED; eps 1-2, 5, 7-8, 10))</v>
      </c>
    </row>
    <row r="1629" spans="1:32" x14ac:dyDescent="0.3">
      <c r="A1629" t="str">
        <f>HYPERLINK("https://anilist.co/staff/101153","Staff: Hiroaki Sakurai (Storyboard  (eps 16, 24))")</f>
        <v>Staff: Hiroaki Sakurai (Storyboard  (eps 16, 24))</v>
      </c>
      <c r="B1629" s="5">
        <v>70</v>
      </c>
      <c r="C1629" s="9">
        <v>1</v>
      </c>
      <c r="D1629" s="6">
        <v>1.4054813773717499E-4</v>
      </c>
      <c r="E1629" s="7">
        <v>9.8383696416022397E-3</v>
      </c>
      <c r="AF1629" t="str">
        <v>Staff: Kazuya Fujishiro (Storyboard (eps 6, 9))</v>
      </c>
    </row>
    <row r="1630" spans="1:32" x14ac:dyDescent="0.3">
      <c r="A1630" t="str">
        <f>HYPERLINK("https://anilist.co/staff/101188","Staff: Hirofumi Suzuki (Key Animation (ep 4, 9))")</f>
        <v>Staff: Hirofumi Suzuki (Key Animation (ep 4, 9))</v>
      </c>
      <c r="B1630" s="5">
        <v>70</v>
      </c>
      <c r="C1630" s="9">
        <v>1</v>
      </c>
      <c r="D1630" s="6">
        <v>1.4054813773717499E-4</v>
      </c>
      <c r="E1630" s="7">
        <v>9.8383696416022397E-3</v>
      </c>
      <c r="AF1630" t="str">
        <v>Staff: Makoto Nakata (Storyboard (eps 3-4))</v>
      </c>
    </row>
    <row r="1631" spans="1:32" x14ac:dyDescent="0.3">
      <c r="A1631" t="str">
        <f>HYPERLINK("https://anilist.co/staff/101403","Staff: Takahiro Kishida (Key Animation  (ep 4))")</f>
        <v>Staff: Takahiro Kishida (Key Animation  (ep 4))</v>
      </c>
      <c r="B1631" s="5">
        <v>70</v>
      </c>
      <c r="C1631" s="9">
        <v>1</v>
      </c>
      <c r="D1631" s="6">
        <v>1.4054813773717499E-4</v>
      </c>
      <c r="E1631" s="7">
        <v>9.8383696416022397E-3</v>
      </c>
      <c r="AF1631" t="str">
        <v>Staff: Kazuya Fujishiro (Episode Director (eps 6, 9))</v>
      </c>
    </row>
    <row r="1632" spans="1:32" x14ac:dyDescent="0.3">
      <c r="A1632" t="str">
        <f>HYPERLINK("https://anilist.co/staff/102674","Staff: Yasuhisa Katou (Character Design)")</f>
        <v>Staff: Yasuhisa Katou (Character Design)</v>
      </c>
      <c r="B1632" s="5">
        <v>70</v>
      </c>
      <c r="C1632" s="9">
        <v>1</v>
      </c>
      <c r="D1632" s="6">
        <v>1.4054813773717499E-4</v>
      </c>
      <c r="E1632" s="7">
        <v>9.8383696416022397E-3</v>
      </c>
      <c r="AF1632" t="str">
        <v>Staff: Toshikatsu Tokoro (Episode Director (eps 1-2, 5, 10))</v>
      </c>
    </row>
    <row r="1633" spans="1:32" x14ac:dyDescent="0.3">
      <c r="A1633" t="str">
        <f>HYPERLINK("https://anilist.co/staff/102674","Staff: Yasuhisa Katou (Animation Director  (OP/ED, Ep. 14))")</f>
        <v>Staff: Yasuhisa Katou (Animation Director  (OP/ED, Ep. 14))</v>
      </c>
      <c r="B1633" s="5">
        <v>70</v>
      </c>
      <c r="C1633" s="9">
        <v>1</v>
      </c>
      <c r="D1633" s="6">
        <v>1.4054813773717499E-4</v>
      </c>
      <c r="E1633" s="7">
        <v>9.8383696416022397E-3</v>
      </c>
      <c r="AF1633" t="str">
        <v>Staff: Makoto Nakata (Episode Director (eps 3-4))</v>
      </c>
    </row>
    <row r="1634" spans="1:32" x14ac:dyDescent="0.3">
      <c r="A1634" t="str">
        <f>HYPERLINK("https://anilist.co/staff/103635","Staff: Masumi Itou (Theme Song Composition)")</f>
        <v>Staff: Masumi Itou (Theme Song Composition)</v>
      </c>
      <c r="B1634" s="5">
        <v>70</v>
      </c>
      <c r="C1634" s="9">
        <v>1</v>
      </c>
      <c r="D1634" s="6">
        <v>1.4054813773717499E-4</v>
      </c>
      <c r="E1634" s="7">
        <v>9.8383696416022397E-3</v>
      </c>
      <c r="AF1634" t="str">
        <v>Staff: Natsumi Suzumoto (Episode Director (eps 7-8))</v>
      </c>
    </row>
    <row r="1635" spans="1:32" x14ac:dyDescent="0.3">
      <c r="A1635" t="str">
        <f>HYPERLINK("https://anilist.co/staff/103635","Staff: Masumi Itou (Theme Song Performance)")</f>
        <v>Staff: Masumi Itou (Theme Song Performance)</v>
      </c>
      <c r="B1635" s="5">
        <v>70</v>
      </c>
      <c r="C1635" s="9">
        <v>1</v>
      </c>
      <c r="D1635" s="6">
        <v>1.4054813773717499E-4</v>
      </c>
      <c r="E1635" s="7">
        <v>9.8383696416022397E-3</v>
      </c>
      <c r="AF1635" t="str">
        <v>Staff: Naoyuki Kuzuya (Episode Director (ep 6))</v>
      </c>
    </row>
    <row r="1636" spans="1:32" x14ac:dyDescent="0.3">
      <c r="A1636" t="str">
        <f>HYPERLINK("https://anilist.co/staff/104054","Staff: Yoko Ueno (Theme Song Performance)")</f>
        <v>Staff: Yoko Ueno (Theme Song Performance)</v>
      </c>
      <c r="B1636" s="5">
        <v>70</v>
      </c>
      <c r="C1636" s="9">
        <v>1</v>
      </c>
      <c r="D1636" s="6">
        <v>1.4054813773717499E-4</v>
      </c>
      <c r="E1636" s="7">
        <v>9.8383696416022397E-3</v>
      </c>
      <c r="AF1636" t="str">
        <v>Staff: Kyle Jones (ADR Director (English))</v>
      </c>
    </row>
    <row r="1637" spans="1:32" x14ac:dyDescent="0.3">
      <c r="A1637" t="str">
        <f>HYPERLINK("https://anilist.co/staff/104054","Staff: Yoko Ueno (Theme Song Composition)")</f>
        <v>Staff: Yoko Ueno (Theme Song Composition)</v>
      </c>
      <c r="B1637" s="5">
        <v>70</v>
      </c>
      <c r="C1637" s="9">
        <v>1</v>
      </c>
      <c r="D1637" s="6">
        <v>1.4054813773717499E-4</v>
      </c>
      <c r="E1637" s="7">
        <v>9.8383696416022397E-3</v>
      </c>
      <c r="AF1637" t="str">
        <v>Staff: Yuuko Gotou (Theme Song Performance (ED2))</v>
      </c>
    </row>
    <row r="1638" spans="1:32" x14ac:dyDescent="0.3">
      <c r="A1638" t="str">
        <f>HYPERLINK("https://anilist.co/staff/104676","Staff: Hiromi Katou (Key Animation  (OP))")</f>
        <v>Staff: Hiromi Katou (Key Animation  (OP))</v>
      </c>
      <c r="B1638" s="5">
        <v>70</v>
      </c>
      <c r="C1638" s="9">
        <v>1</v>
      </c>
      <c r="D1638" s="6">
        <v>1.4054813773717499E-4</v>
      </c>
      <c r="E1638" s="7">
        <v>9.8383696416022397E-3</v>
      </c>
      <c r="AF1638" t="str">
        <v>Staff: Sumire Uesaka (Theme Song Performance (ED1))</v>
      </c>
    </row>
    <row r="1639" spans="1:32" x14ac:dyDescent="0.3">
      <c r="A1639" t="str">
        <f>HYPERLINK("https://anilist.co/staff/104690","Staff: Masaki Kurihara (Music)")</f>
        <v>Staff: Masaki Kurihara (Music)</v>
      </c>
      <c r="B1639" s="5">
        <v>70</v>
      </c>
      <c r="C1639" s="9">
        <v>1</v>
      </c>
      <c r="D1639" s="6">
        <v>1.4054813773717499E-4</v>
      </c>
      <c r="E1639" s="7">
        <v>9.8383696416022397E-3</v>
      </c>
      <c r="AF1639" t="str">
        <v>Staff: Nozomi Yamamoto (Theme Song Performance (ED3))</v>
      </c>
    </row>
    <row r="1640" spans="1:32" x14ac:dyDescent="0.3">
      <c r="A1640" t="str">
        <f>HYPERLINK("https://anilist.co/staff/105169","Staff: Tarou Maki (Executive Producer)")</f>
        <v>Staff: Tarou Maki (Executive Producer)</v>
      </c>
      <c r="B1640" s="5">
        <v>70</v>
      </c>
      <c r="C1640" s="9">
        <v>1</v>
      </c>
      <c r="D1640" s="6">
        <v>1.4054813773717499E-4</v>
      </c>
      <c r="E1640" s="7">
        <v>9.8383696416022397E-3</v>
      </c>
      <c r="AF1640" t="str">
        <v>=HYPERLINK("https://anilist.co/staff/118738","Staff: Shizuka</v>
      </c>
    </row>
    <row r="1641" spans="1:32" x14ac:dyDescent="0.3">
      <c r="A1641" t="str">
        <f>HYPERLINK("https://anilist.co/staff/105315","Staff: Kazuya Watanabe (Planning)")</f>
        <v>Staff: Kazuya Watanabe (Planning)</v>
      </c>
      <c r="B1641" s="5">
        <v>70</v>
      </c>
      <c r="C1641" s="9">
        <v>1</v>
      </c>
      <c r="D1641" s="6">
        <v>1.4054813773717499E-4</v>
      </c>
      <c r="E1641" s="7">
        <v>9.8383696416022397E-3</v>
      </c>
      <c r="AF1641" t="str">
        <v>Staff: Michael Egeler (ADR Director (German))</v>
      </c>
    </row>
    <row r="1642" spans="1:32" x14ac:dyDescent="0.3">
      <c r="A1642" t="str">
        <f>HYPERLINK("https://anilist.co/staff/105384","Staff: Hiroshi Nishikiori (Director)")</f>
        <v>Staff: Hiroshi Nishikiori (Director)</v>
      </c>
      <c r="B1642" s="5">
        <v>70</v>
      </c>
      <c r="C1642" s="9">
        <v>1</v>
      </c>
      <c r="D1642" s="6">
        <v>1.4054813773717499E-4</v>
      </c>
      <c r="E1642" s="7">
        <v>9.8383696416022397E-3</v>
      </c>
      <c r="AF1642" t="str">
        <v>Staff: Mari Matsuzawa (Original Creator)</v>
      </c>
    </row>
    <row r="1643" spans="1:32" x14ac:dyDescent="0.3">
      <c r="A1643" t="str">
        <f>HYPERLINK("https://anilist.co/staff/105384","Staff: Hiroshi Nishikiori (Storyboard (ED, eps 1-3, 7, 9, 17, 23, 26))")</f>
        <v>Staff: Hiroshi Nishikiori (Storyboard (ED, eps 1-3, 7, 9, 17, 23, 26))</v>
      </c>
      <c r="B1643" s="5">
        <v>70</v>
      </c>
      <c r="C1643" s="9">
        <v>1</v>
      </c>
      <c r="D1643" s="6">
        <v>1.4054813773717499E-4</v>
      </c>
      <c r="E1643" s="7">
        <v>9.8383696416022397E-3</v>
      </c>
      <c r="AF1643" t="str">
        <v>Staff: Atsushi Kobayashi (Storyboard (ep 6))</v>
      </c>
    </row>
    <row r="1644" spans="1:32" x14ac:dyDescent="0.3">
      <c r="A1644" t="str">
        <f>HYPERLINK("https://anilist.co/staff/105936","Staff: Masashi Ishihama (Animation Director (ep 4))")</f>
        <v>Staff: Masashi Ishihama (Animation Director (ep 4))</v>
      </c>
      <c r="B1644" s="5">
        <v>70</v>
      </c>
      <c r="C1644" s="9">
        <v>1</v>
      </c>
      <c r="D1644" s="6">
        <v>1.4054813773717499E-4</v>
      </c>
      <c r="E1644" s="7">
        <v>9.8383696416022397E-3</v>
      </c>
      <c r="AF1644" t="str">
        <v>Staff: Atsushi Kobayashi (Unit Director (ep 6))</v>
      </c>
    </row>
    <row r="1645" spans="1:32" x14ac:dyDescent="0.3">
      <c r="A1645" t="str">
        <f>HYPERLINK("https://anilist.co/staff/105936","Staff: Masashi Ishihama (Key Animation (eps 2, 26))")</f>
        <v>Staff: Masashi Ishihama (Key Animation (eps 2, 26))</v>
      </c>
      <c r="B1645" s="5">
        <v>70</v>
      </c>
      <c r="C1645" s="9">
        <v>1</v>
      </c>
      <c r="D1645" s="6">
        <v>1.4054813773717499E-4</v>
      </c>
      <c r="E1645" s="7">
        <v>9.8383696416022397E-3</v>
      </c>
      <c r="AF1645" t="str">
        <v>Staff: Atsushi Kobayashi (Storyboard Assistance (ep 11))</v>
      </c>
    </row>
    <row r="1646" spans="1:32" x14ac:dyDescent="0.3">
      <c r="A1646" t="str">
        <f>HYPERLINK("https://anilist.co/staff/106018","Staff: Aki Hata (Theme Song Lyrics)")</f>
        <v>Staff: Aki Hata (Theme Song Lyrics)</v>
      </c>
      <c r="B1646" s="5">
        <v>70</v>
      </c>
      <c r="C1646" s="9">
        <v>1</v>
      </c>
      <c r="D1646" s="6">
        <v>1.4054813773717499E-4</v>
      </c>
      <c r="E1646" s="7">
        <v>9.8383696416022397E-3</v>
      </c>
      <c r="AF1646" t="str">
        <v>Staff: Izuro Ijuuin (Key Animation (OP))</v>
      </c>
    </row>
    <row r="1647" spans="1:32" x14ac:dyDescent="0.3">
      <c r="A1647" t="str">
        <f>HYPERLINK("https://anilist.co/staff/106066","Staff: Yoshinobu Yamakawa (Key Animation (ED))")</f>
        <v>Staff: Yoshinobu Yamakawa (Key Animation (ED))</v>
      </c>
      <c r="B1647" s="5">
        <v>70</v>
      </c>
      <c r="C1647" s="9">
        <v>1</v>
      </c>
      <c r="D1647" s="6">
        <v>1.4054813773717499E-4</v>
      </c>
      <c r="E1647" s="7">
        <v>9.8383696416022397E-3</v>
      </c>
      <c r="AF1647" t="str">
        <v>Staff: Hiroyuki Hata (Director)</v>
      </c>
    </row>
    <row r="1648" spans="1:32" x14ac:dyDescent="0.3">
      <c r="A1648" t="str">
        <f>HYPERLINK("https://anilist.co/staff/106529","Staff: Shinya Hasegawa (Key Animation (ED))")</f>
        <v>Staff: Shinya Hasegawa (Key Animation (ED))</v>
      </c>
      <c r="B1648" s="5">
        <v>70</v>
      </c>
      <c r="C1648" s="9">
        <v>1</v>
      </c>
      <c r="D1648" s="6">
        <v>1.4054813773717499E-4</v>
      </c>
      <c r="E1648" s="7">
        <v>9.8383696416022397E-3</v>
      </c>
      <c r="AF1648" t="str">
        <v>Staff: Hiroyuki Hata (Storyboard (OP, ED, eps 1, 4, 7, 12))</v>
      </c>
    </row>
    <row r="1649" spans="1:32" x14ac:dyDescent="0.3">
      <c r="A1649" t="str">
        <f>HYPERLINK("https://anilist.co/staff/107509","Staff: Ryouichi Ooki (Key Animation  (eps 2, 7, 10))")</f>
        <v>Staff: Ryouichi Ooki (Key Animation  (eps 2, 7, 10))</v>
      </c>
      <c r="B1649" s="5">
        <v>70</v>
      </c>
      <c r="C1649" s="9">
        <v>1</v>
      </c>
      <c r="D1649" s="6">
        <v>1.4054813773717499E-4</v>
      </c>
      <c r="E1649" s="7">
        <v>9.8383696416022397E-3</v>
      </c>
      <c r="AF1649" t="str">
        <v>Staff: Daisuke Hiramaki (Episode Director (ep 11))</v>
      </c>
    </row>
    <row r="1650" spans="1:32" x14ac:dyDescent="0.3">
      <c r="A1650" t="str">
        <f>HYPERLINK("https://anilist.co/staff/112955","Staff: Miyuki Nakayama (Original Creator)")</f>
        <v>Staff: Miyuki Nakayama (Original Creator)</v>
      </c>
      <c r="B1650" s="5">
        <v>70</v>
      </c>
      <c r="C1650" s="9">
        <v>1</v>
      </c>
      <c r="D1650" s="6">
        <v>1.4054813773717499E-4</v>
      </c>
      <c r="E1650" s="7">
        <v>9.8383696416022397E-3</v>
      </c>
      <c r="AF1650" t="str">
        <v>Staff: Chinami Hashimoto (Theme Song Performance (OP))</v>
      </c>
    </row>
    <row r="1651" spans="1:32" x14ac:dyDescent="0.3">
      <c r="A1651" t="str">
        <f>HYPERLINK("https://anilist.co/staff/100952","Staff: Ryouji Masuyama (Director)")</f>
        <v>Staff: Ryouji Masuyama (Director)</v>
      </c>
      <c r="B1651" s="5">
        <v>70</v>
      </c>
      <c r="C1651" s="9">
        <v>1</v>
      </c>
      <c r="D1651" s="6">
        <v>1.4054813773717499E-4</v>
      </c>
      <c r="E1651" s="7">
        <v>9.8383696416022397E-3</v>
      </c>
      <c r="AF1651" t="str">
        <v>Staff: Hisako Kanemoto (Theme Song Performance (OP))</v>
      </c>
    </row>
    <row r="1652" spans="1:32" x14ac:dyDescent="0.3">
      <c r="A1652" t="str">
        <f>HYPERLINK("https://anilist.co/staff/97004","Staff: Gou Zappa (Series Composition)")</f>
        <v>Staff: Gou Zappa (Series Composition)</v>
      </c>
      <c r="B1652" s="5">
        <v>70</v>
      </c>
      <c r="C1652" s="9">
        <v>1</v>
      </c>
      <c r="D1652" s="6">
        <v>1.4054813773717499E-4</v>
      </c>
      <c r="E1652" s="7">
        <v>9.8383696416022397E-3</v>
      </c>
      <c r="AF1652" t="str">
        <v>Staff: Yui Ogura (Theme Song Performance (OP, ED))</v>
      </c>
    </row>
    <row r="1653" spans="1:32" x14ac:dyDescent="0.3">
      <c r="A1653" t="str">
        <f>HYPERLINK("https://anilist.co/staff/118582","Staff: Yousuke Okuda (Character Design)")</f>
        <v>Staff: Yousuke Okuda (Character Design)</v>
      </c>
      <c r="B1653" s="5">
        <v>70</v>
      </c>
      <c r="C1653" s="9">
        <v>1</v>
      </c>
      <c r="D1653" s="6">
        <v>1.4054813773717499E-4</v>
      </c>
      <c r="E1653" s="7">
        <v>9.8383696416022397E-3</v>
      </c>
      <c r="AF1653" t="str">
        <v>Staff: Daisuke Hiramaki (Key Animation (OP, eps 1, 5, 11))</v>
      </c>
    </row>
    <row r="1654" spans="1:32" x14ac:dyDescent="0.3">
      <c r="A1654" t="str">
        <f>HYPERLINK("https://anilist.co/staff/145871","Staff: Takahiro Sasaki (Chief Animation Director (eps 3, 6, 9, 12))")</f>
        <v>Staff: Takahiro Sasaki (Chief Animation Director (eps 3, 6, 9, 12))</v>
      </c>
      <c r="B1654" s="5">
        <v>70</v>
      </c>
      <c r="C1654" s="9">
        <v>1</v>
      </c>
      <c r="D1654" s="6">
        <v>1.4054813773717499E-4</v>
      </c>
      <c r="E1654" s="7">
        <v>9.8383696416022397E-3</v>
      </c>
      <c r="AF1654" t="str">
        <v>Staff: Daisuke Hiramaki (Storyboard (eps 5, 11))</v>
      </c>
    </row>
    <row r="1655" spans="1:32" x14ac:dyDescent="0.3">
      <c r="A1655" t="str">
        <f>HYPERLINK("https://anilist.co/staff/138087","Staff: Mio Inoguchi  (Chief Animation Director (eps 4, 7, 10, 12))")</f>
        <v>Staff: Mio Inoguchi  (Chief Animation Director (eps 4, 7, 10, 12))</v>
      </c>
      <c r="B1655" s="5">
        <v>70</v>
      </c>
      <c r="C1655" s="9">
        <v>1</v>
      </c>
      <c r="D1655" s="6">
        <v>1.4054813773717499E-4</v>
      </c>
      <c r="E1655" s="7">
        <v>9.8383696416022397E-3</v>
      </c>
      <c r="AF1655" t="str">
        <v>Staff: Daisuke Hiramaki (Animation Director (eps 2, 5))</v>
      </c>
    </row>
    <row r="1656" spans="1:32" x14ac:dyDescent="0.3">
      <c r="A1656" t="str">
        <f>HYPERLINK("https://anilist.co/staff/118582","Staff: Yousuke Okuda (Chief Animation Director (eps 1, 2, 5, 8, 11, 12))")</f>
        <v>Staff: Yousuke Okuda (Chief Animation Director (eps 1, 2, 5, 8, 11, 12))</v>
      </c>
      <c r="B1656" s="5">
        <v>70</v>
      </c>
      <c r="C1656" s="9">
        <v>1</v>
      </c>
      <c r="D1656" s="6">
        <v>1.4054813773717499E-4</v>
      </c>
      <c r="E1656" s="7">
        <v>9.8383696416022397E-3</v>
      </c>
      <c r="AF1656" t="str">
        <v>Staff: Manabu Fukazawa (Storyboard (ep 11))</v>
      </c>
    </row>
    <row r="1657" spans="1:32" x14ac:dyDescent="0.3">
      <c r="A1657" t="str">
        <f>HYPERLINK("https://anilist.co/staff/146396","Staff: Megumi Katou (Art Director)")</f>
        <v>Staff: Megumi Katou (Art Director)</v>
      </c>
      <c r="B1657" s="5">
        <v>70</v>
      </c>
      <c r="C1657" s="9">
        <v>1</v>
      </c>
      <c r="D1657" s="6">
        <v>1.4054813773717499E-4</v>
      </c>
      <c r="E1657" s="7">
        <v>9.8383696416022397E-3</v>
      </c>
      <c r="AF1657" t="str">
        <v>Staff: Kumiko Kawahara (Key Animation (ep 4))</v>
      </c>
    </row>
    <row r="1658" spans="1:32" x14ac:dyDescent="0.3">
      <c r="A1658" t="str">
        <f>HYPERLINK("https://anilist.co/staff/154195","Staff: Miho Okada (Planning)")</f>
        <v>Staff: Miho Okada (Planning)</v>
      </c>
      <c r="B1658" s="5">
        <v>70</v>
      </c>
      <c r="C1658" s="9">
        <v>1</v>
      </c>
      <c r="D1658" s="6">
        <v>1.4054813773717499E-4</v>
      </c>
      <c r="E1658" s="7">
        <v>9.8383696416022397E-3</v>
      </c>
      <c r="AF1658" t="str">
        <v>Staff: Kumiko Kawahara (2nd Key Animation (ep 1))</v>
      </c>
    </row>
    <row r="1659" spans="1:32" x14ac:dyDescent="0.3">
      <c r="A1659" t="str">
        <f>HYPERLINK("https://anilist.co/staff/185978","Staff: Norikazu Ootsuka (Planning)")</f>
        <v>Staff: Norikazu Ootsuka (Planning)</v>
      </c>
      <c r="B1659" s="5">
        <v>70</v>
      </c>
      <c r="C1659" s="9">
        <v>1</v>
      </c>
      <c r="D1659" s="6">
        <v>1.4054813773717499E-4</v>
      </c>
      <c r="E1659" s="7">
        <v>9.8383696416022397E-3</v>
      </c>
      <c r="AF1659" t="str">
        <v>Staff: Hiroto Katou (Assistant Animation Director (ep 5))</v>
      </c>
    </row>
    <row r="1660" spans="1:32" x14ac:dyDescent="0.3">
      <c r="A1660" t="str">
        <f>HYPERLINK("https://anilist.co/staff/138087","Staff: Mio Inoguchi  (Animation Director (eps 2, 12))")</f>
        <v>Staff: Mio Inoguchi  (Animation Director (eps 2, 12))</v>
      </c>
      <c r="B1660" s="5">
        <v>70</v>
      </c>
      <c r="C1660" s="9">
        <v>1</v>
      </c>
      <c r="D1660" s="6">
        <v>1.4054813773717499E-4</v>
      </c>
      <c r="E1660" s="7">
        <v>9.8383696416022397E-3</v>
      </c>
      <c r="AF1660" t="str">
        <v>Staff: Akemi Kobayashi (Animation Director (ep 11))</v>
      </c>
    </row>
    <row r="1661" spans="1:32" x14ac:dyDescent="0.3">
      <c r="A1661" t="str">
        <f>HYPERLINK("https://anilist.co/staff/145871","Staff: Takahiro Sasaki (Key Animation (ep 1))")</f>
        <v>Staff: Takahiro Sasaki (Key Animation (ep 1))</v>
      </c>
      <c r="B1661" s="5">
        <v>70</v>
      </c>
      <c r="C1661" s="9">
        <v>1</v>
      </c>
      <c r="D1661" s="6">
        <v>1.4054813773717499E-4</v>
      </c>
      <c r="E1661" s="7">
        <v>9.8383696416022397E-3</v>
      </c>
      <c r="AF1661" t="str">
        <v>Staff: Keishi Sakai (Key Animation (eps 3, 8))</v>
      </c>
    </row>
    <row r="1662" spans="1:32" x14ac:dyDescent="0.3">
      <c r="A1662" t="str">
        <f>HYPERLINK("https://anilist.co/staff/118582","Staff: Yousuke Okuda (Assistant Animation Director (ep 10))")</f>
        <v>Staff: Yousuke Okuda (Assistant Animation Director (ep 10))</v>
      </c>
      <c r="B1662" s="5">
        <v>70</v>
      </c>
      <c r="C1662" s="9">
        <v>1</v>
      </c>
      <c r="D1662" s="6">
        <v>1.4054813773717499E-4</v>
      </c>
      <c r="E1662" s="7">
        <v>9.8383696416022397E-3</v>
      </c>
      <c r="AF1662" t="str">
        <v>Staff: Keishi Sakai (Assistant Animation Director (ep 8))</v>
      </c>
    </row>
    <row r="1663" spans="1:32" x14ac:dyDescent="0.3">
      <c r="A1663" t="str">
        <f>HYPERLINK("https://anilist.co/staff/167978","Staff: Yousuke Aburaya (Main Animator)")</f>
        <v>Staff: Yousuke Aburaya (Main Animator)</v>
      </c>
      <c r="B1663" s="5">
        <v>70</v>
      </c>
      <c r="C1663" s="9">
        <v>1</v>
      </c>
      <c r="D1663" s="6">
        <v>1.4054813773717499E-4</v>
      </c>
      <c r="E1663" s="7">
        <v>9.8383696416022397E-3</v>
      </c>
      <c r="AF1663" t="str">
        <v>Staff: Ryousuke Nakanishi (Music)</v>
      </c>
    </row>
    <row r="1664" spans="1:32" x14ac:dyDescent="0.3">
      <c r="A1664" t="str">
        <f>HYPERLINK("https://anilist.co/staff/97004","Staff: Gou Zappa (Script (eps 1-4, 6-8, 10-12))")</f>
        <v>Staff: Gou Zappa (Script (eps 1-4, 6-8, 10-12))</v>
      </c>
      <c r="B1664" s="5">
        <v>70</v>
      </c>
      <c r="C1664" s="9">
        <v>1</v>
      </c>
      <c r="D1664" s="6">
        <v>1.4054813773717499E-4</v>
      </c>
      <c r="E1664" s="7">
        <v>9.8383696416022397E-3</v>
      </c>
    </row>
    <row r="1665" spans="1:5" x14ac:dyDescent="0.3">
      <c r="A1665" t="str">
        <f>HYPERLINK("https://anilist.co/staff/147295","Staff: Akihito Watanabe (Planning)")</f>
        <v>Staff: Akihito Watanabe (Planning)</v>
      </c>
      <c r="B1665" s="5">
        <v>70</v>
      </c>
      <c r="C1665" s="9">
        <v>1</v>
      </c>
      <c r="D1665" s="6">
        <v>1.4054813773717499E-4</v>
      </c>
      <c r="E1665" s="7">
        <v>9.8383696416022397E-3</v>
      </c>
    </row>
    <row r="1666" spans="1:5" x14ac:dyDescent="0.3">
      <c r="A1666" t="str">
        <f>HYPERLINK("https://anilist.co/staff/118582","Staff: Yousuke Okuda (Animation Director (OP, ED))")</f>
        <v>Staff: Yousuke Okuda (Animation Director (OP, ED))</v>
      </c>
      <c r="B1666" s="5">
        <v>70</v>
      </c>
      <c r="C1666" s="9">
        <v>1</v>
      </c>
      <c r="D1666" s="6">
        <v>1.4054813773717499E-4</v>
      </c>
      <c r="E1666" s="7">
        <v>9.8383696416022397E-3</v>
      </c>
    </row>
    <row r="1667" spans="1:5" x14ac:dyDescent="0.3">
      <c r="A1667" t="str">
        <f>HYPERLINK("https://anilist.co/staff/207100","Staff: Yuuki Naitou (Planning)")</f>
        <v>Staff: Yuuki Naitou (Planning)</v>
      </c>
      <c r="B1667" s="5">
        <v>70</v>
      </c>
      <c r="C1667" s="9">
        <v>1</v>
      </c>
      <c r="D1667" s="6">
        <v>1.4054813773717499E-4</v>
      </c>
      <c r="E1667" s="7">
        <v>9.8383696416022397E-3</v>
      </c>
    </row>
    <row r="1668" spans="1:5" x14ac:dyDescent="0.3">
      <c r="A1668" t="str">
        <f>HYPERLINK("https://anilist.co/staff/145871","Staff: Takahiro Sasaki (Animation Director (eps 1, 12))")</f>
        <v>Staff: Takahiro Sasaki (Animation Director (eps 1, 12))</v>
      </c>
      <c r="B1668" s="5">
        <v>70</v>
      </c>
      <c r="C1668" s="9">
        <v>1</v>
      </c>
      <c r="D1668" s="6">
        <v>1.4054813773717499E-4</v>
      </c>
      <c r="E1668" s="7">
        <v>9.8383696416022397E-3</v>
      </c>
    </row>
    <row r="1669" spans="1:5" x14ac:dyDescent="0.3">
      <c r="A1669" t="str">
        <f>HYPERLINK("https://anilist.co/staff/119948","Staff: Namiru Matsumoto (Original Creator)")</f>
        <v>Staff: Namiru Matsumoto (Original Creator)</v>
      </c>
      <c r="B1669" s="5">
        <v>70</v>
      </c>
      <c r="C1669" s="9">
        <v>1</v>
      </c>
      <c r="D1669" s="6">
        <v>1.4054813773717499E-4</v>
      </c>
      <c r="E1669" s="7">
        <v>9.8383696416022397E-3</v>
      </c>
    </row>
    <row r="1670" spans="1:5" x14ac:dyDescent="0.3">
      <c r="A1670" t="str">
        <f>HYPERLINK("https://anilist.co/staff/122942","Staff: Nobuyoshi Nagayama (Director)")</f>
        <v>Staff: Nobuyoshi Nagayama (Director)</v>
      </c>
      <c r="B1670" s="5">
        <v>70</v>
      </c>
      <c r="C1670" s="9">
        <v>1</v>
      </c>
      <c r="D1670" s="6">
        <v>1.4054813773717499E-4</v>
      </c>
      <c r="E1670" s="7">
        <v>9.8383696416022397E-3</v>
      </c>
    </row>
    <row r="1671" spans="1:5" x14ac:dyDescent="0.3">
      <c r="A1671" t="str">
        <f>HYPERLINK("https://anilist.co/staff/101686","Staff: Aoi Yuuki (Theme Song Performance)")</f>
        <v>Staff: Aoi Yuuki (Theme Song Performance)</v>
      </c>
      <c r="B1671" s="5">
        <v>70</v>
      </c>
      <c r="C1671" s="9">
        <v>1</v>
      </c>
      <c r="D1671" s="6">
        <v>1.4054813773717499E-4</v>
      </c>
      <c r="E1671" s="7">
        <v>9.8383696416022397E-3</v>
      </c>
    </row>
    <row r="1672" spans="1:5" x14ac:dyDescent="0.3">
      <c r="A1672" t="str">
        <f>HYPERLINK("https://anilist.co/staff/123422","Staff: Shunsuke Takizawa (Music)")</f>
        <v>Staff: Shunsuke Takizawa (Music)</v>
      </c>
      <c r="B1672" s="5">
        <v>70</v>
      </c>
      <c r="C1672" s="9">
        <v>1</v>
      </c>
      <c r="D1672" s="6">
        <v>1.4054813773717499E-4</v>
      </c>
      <c r="E1672" s="7">
        <v>9.8383696416022397E-3</v>
      </c>
    </row>
    <row r="1673" spans="1:5" x14ac:dyDescent="0.3">
      <c r="A1673" t="str">
        <f>HYPERLINK("https://anilist.co/staff/123423","Staff: Shouko Yasuda (Character Design)")</f>
        <v>Staff: Shouko Yasuda (Character Design)</v>
      </c>
      <c r="B1673" s="5">
        <v>70</v>
      </c>
      <c r="C1673" s="9">
        <v>1</v>
      </c>
      <c r="D1673" s="6">
        <v>1.4054813773717499E-4</v>
      </c>
      <c r="E1673" s="7">
        <v>9.8383696416022397E-3</v>
      </c>
    </row>
    <row r="1674" spans="1:5" x14ac:dyDescent="0.3">
      <c r="A1674" t="str">
        <f>HYPERLINK("https://anilist.co/staff/120169","Staff: Chikako Yokota (Sound Director)")</f>
        <v>Staff: Chikako Yokota (Sound Director)</v>
      </c>
      <c r="B1674" s="5">
        <v>70</v>
      </c>
      <c r="C1674" s="9">
        <v>1</v>
      </c>
      <c r="D1674" s="6">
        <v>1.4054813773717499E-4</v>
      </c>
      <c r="E1674" s="7">
        <v>9.8383696416022397E-3</v>
      </c>
    </row>
    <row r="1675" spans="1:5" x14ac:dyDescent="0.3">
      <c r="A1675" t="str">
        <f>HYPERLINK("https://anilist.co/staff/144902","Staff: Tomoyasu Ookubo (Script (eps 3, 6, 9, 11))")</f>
        <v>Staff: Tomoyasu Ookubo (Script (eps 3, 6, 9, 11))</v>
      </c>
      <c r="B1675" s="5">
        <v>70</v>
      </c>
      <c r="C1675" s="9">
        <v>1</v>
      </c>
      <c r="D1675" s="6">
        <v>1.4054813773717499E-4</v>
      </c>
      <c r="E1675" s="7">
        <v>9.8383696416022397E-3</v>
      </c>
    </row>
    <row r="1676" spans="1:5" x14ac:dyDescent="0.3">
      <c r="A1676" t="str">
        <f>HYPERLINK("https://anilist.co/staff/109939","Staff: Hideki Shirane (Script (eps 1, 5, 10))")</f>
        <v>Staff: Hideki Shirane (Script (eps 1, 5, 10))</v>
      </c>
      <c r="B1676" s="5">
        <v>70</v>
      </c>
      <c r="C1676" s="9">
        <v>1</v>
      </c>
      <c r="D1676" s="6">
        <v>1.4054813773717499E-4</v>
      </c>
      <c r="E1676" s="7">
        <v>9.8383696416022397E-3</v>
      </c>
    </row>
    <row r="1677" spans="1:5" x14ac:dyDescent="0.3">
      <c r="A1677" t="str">
        <f>HYPERLINK("https://anilist.co/staff/97415","Staff: Noboru Kimura (Script (eps 4, 7))")</f>
        <v>Staff: Noboru Kimura (Script (eps 4, 7))</v>
      </c>
      <c r="B1677" s="5">
        <v>70</v>
      </c>
      <c r="C1677" s="9">
        <v>1</v>
      </c>
      <c r="D1677" s="6">
        <v>1.4054813773717499E-4</v>
      </c>
      <c r="E1677" s="7">
        <v>9.8383696416022397E-3</v>
      </c>
    </row>
    <row r="1678" spans="1:5" x14ac:dyDescent="0.3">
      <c r="A1678" t="str">
        <f>HYPERLINK("https://anilist.co/staff/119818","Staff: Yasunori Yamada (Script (eps 2, 8))")</f>
        <v>Staff: Yasunori Yamada (Script (eps 2, 8))</v>
      </c>
      <c r="B1678" s="5">
        <v>70</v>
      </c>
      <c r="C1678" s="9">
        <v>1</v>
      </c>
      <c r="D1678" s="6">
        <v>1.4054813773717499E-4</v>
      </c>
      <c r="E1678" s="7">
        <v>9.8383696416022397E-3</v>
      </c>
    </row>
    <row r="1679" spans="1:5" x14ac:dyDescent="0.3">
      <c r="A1679" t="str">
        <f>HYPERLINK("https://anilist.co/staff/122942","Staff: Nobuyoshi Nagayama (Storyboard (eps 1, 2))")</f>
        <v>Staff: Nobuyoshi Nagayama (Storyboard (eps 1, 2))</v>
      </c>
      <c r="B1679" s="5">
        <v>70</v>
      </c>
      <c r="C1679" s="9">
        <v>1</v>
      </c>
      <c r="D1679" s="6">
        <v>1.4054813773717499E-4</v>
      </c>
      <c r="E1679" s="7">
        <v>9.8383696416022397E-3</v>
      </c>
    </row>
    <row r="1680" spans="1:5" x14ac:dyDescent="0.3">
      <c r="A1680" t="str">
        <f>HYPERLINK("https://anilist.co/staff/124288","Staff: Hidetoshi Takahashi (Episode Director (eps 4, 8))")</f>
        <v>Staff: Hidetoshi Takahashi (Episode Director (eps 4, 8))</v>
      </c>
      <c r="B1680" s="5">
        <v>70</v>
      </c>
      <c r="C1680" s="9">
        <v>1</v>
      </c>
      <c r="D1680" s="6">
        <v>1.4054813773717499E-4</v>
      </c>
      <c r="E1680" s="7">
        <v>9.8383696416022397E-3</v>
      </c>
    </row>
    <row r="1681" spans="1:5" x14ac:dyDescent="0.3">
      <c r="A1681" t="str">
        <f>HYPERLINK("https://anilist.co/staff/122942","Staff: Nobuyoshi Nagayama (Episode Director (eps 1, 11))")</f>
        <v>Staff: Nobuyoshi Nagayama (Episode Director (eps 1, 11))</v>
      </c>
      <c r="B1681" s="5">
        <v>70</v>
      </c>
      <c r="C1681" s="9">
        <v>1</v>
      </c>
      <c r="D1681" s="6">
        <v>1.4054813773717499E-4</v>
      </c>
      <c r="E1681" s="7">
        <v>9.8383696416022397E-3</v>
      </c>
    </row>
    <row r="1682" spans="1:5" x14ac:dyDescent="0.3">
      <c r="A1682" t="str">
        <f>HYPERLINK("https://anilist.co/staff/124288","Staff: Hidetoshi Takahashi (Storyboard (eps 4, 8))")</f>
        <v>Staff: Hidetoshi Takahashi (Storyboard (eps 4, 8))</v>
      </c>
      <c r="B1682" s="5">
        <v>70</v>
      </c>
      <c r="C1682" s="9">
        <v>1</v>
      </c>
      <c r="D1682" s="6">
        <v>1.4054813773717499E-4</v>
      </c>
      <c r="E1682" s="7">
        <v>9.8383696416022397E-3</v>
      </c>
    </row>
    <row r="1683" spans="1:5" x14ac:dyDescent="0.3">
      <c r="A1683" t="str">
        <f>HYPERLINK("https://anilist.co/staff/134727","Staff: Ryousuke Shibuya (Episode Director (ep 9))")</f>
        <v>Staff: Ryousuke Shibuya (Episode Director (ep 9))</v>
      </c>
      <c r="B1683" s="5">
        <v>70</v>
      </c>
      <c r="C1683" s="9">
        <v>1</v>
      </c>
      <c r="D1683" s="6">
        <v>1.4054813773717499E-4</v>
      </c>
      <c r="E1683" s="7">
        <v>9.8383696416022397E-3</v>
      </c>
    </row>
    <row r="1684" spans="1:5" x14ac:dyDescent="0.3">
      <c r="A1684" t="str">
        <f>HYPERLINK("https://anilist.co/staff/134727","Staff: Ryousuke Shibuya (Storyboard (eps 3, 7, 9, 11))")</f>
        <v>Staff: Ryousuke Shibuya (Storyboard (eps 3, 7, 9, 11))</v>
      </c>
      <c r="B1684" s="5">
        <v>70</v>
      </c>
      <c r="C1684" s="9">
        <v>1</v>
      </c>
      <c r="D1684" s="6">
        <v>1.4054813773717499E-4</v>
      </c>
      <c r="E1684" s="7">
        <v>9.8383696416022397E-3</v>
      </c>
    </row>
    <row r="1685" spans="1:5" x14ac:dyDescent="0.3">
      <c r="A1685" t="str">
        <f>HYPERLINK("https://anilist.co/staff/154072","Staff: Keiichi Matsuki (Storyboard (ep 3))")</f>
        <v>Staff: Keiichi Matsuki (Storyboard (ep 3))</v>
      </c>
      <c r="B1685" s="5">
        <v>70</v>
      </c>
      <c r="C1685" s="9">
        <v>1</v>
      </c>
      <c r="D1685" s="6">
        <v>1.4054813773717499E-4</v>
      </c>
      <c r="E1685" s="7">
        <v>9.8383696416022397E-3</v>
      </c>
    </row>
    <row r="1686" spans="1:5" x14ac:dyDescent="0.3">
      <c r="A1686" t="str">
        <f>HYPERLINK("https://anilist.co/staff/134726","Staff: Junnosuke Nishio (Animation Director (eps 3, 8))")</f>
        <v>Staff: Junnosuke Nishio (Animation Director (eps 3, 8))</v>
      </c>
      <c r="B1686" s="5">
        <v>70</v>
      </c>
      <c r="C1686" s="9">
        <v>1</v>
      </c>
      <c r="D1686" s="6">
        <v>1.4054813773717499E-4</v>
      </c>
      <c r="E1686" s="7">
        <v>9.8383696416022397E-3</v>
      </c>
    </row>
    <row r="1687" spans="1:5" x14ac:dyDescent="0.3">
      <c r="A1687" t="str">
        <f>HYPERLINK("https://anilist.co/staff/134737","Staff: Kazuya Saitou (Animation Director (ep 1))")</f>
        <v>Staff: Kazuya Saitou (Animation Director (ep 1))</v>
      </c>
      <c r="B1687" s="5">
        <v>70</v>
      </c>
      <c r="C1687" s="9">
        <v>1</v>
      </c>
      <c r="D1687" s="6">
        <v>1.4054813773717499E-4</v>
      </c>
      <c r="E1687" s="7">
        <v>9.8383696416022397E-3</v>
      </c>
    </row>
    <row r="1688" spans="1:5" x14ac:dyDescent="0.3">
      <c r="A1688" t="str">
        <f>HYPERLINK("https://anilist.co/staff/147873","Staff: Kazuyuki Ikai (Animation Director (eps 1, 2))")</f>
        <v>Staff: Kazuyuki Ikai (Animation Director (eps 1, 2))</v>
      </c>
      <c r="B1688" s="5">
        <v>70</v>
      </c>
      <c r="C1688" s="9">
        <v>1</v>
      </c>
      <c r="D1688" s="6">
        <v>1.4054813773717499E-4</v>
      </c>
      <c r="E1688" s="7">
        <v>9.8383696416022397E-3</v>
      </c>
    </row>
    <row r="1689" spans="1:5" x14ac:dyDescent="0.3">
      <c r="A1689" t="str">
        <f>HYPERLINK("https://anilist.co/staff/148565","Staff: Reiko Satou (Animation Director (eps 5, 6, 9, 10))")</f>
        <v>Staff: Reiko Satou (Animation Director (eps 5, 6, 9, 10))</v>
      </c>
      <c r="B1689" s="5">
        <v>70</v>
      </c>
      <c r="C1689" s="9">
        <v>1</v>
      </c>
      <c r="D1689" s="6">
        <v>1.4054813773717499E-4</v>
      </c>
      <c r="E1689" s="7">
        <v>9.8383696416022397E-3</v>
      </c>
    </row>
    <row r="1690" spans="1:5" x14ac:dyDescent="0.3">
      <c r="A1690" t="str">
        <f>HYPERLINK("https://anilist.co/staff/131145","Staff: Katsuya  Yoshii (Animation Director (ep 1))")</f>
        <v>Staff: Katsuya  Yoshii (Animation Director (ep 1))</v>
      </c>
      <c r="B1690" s="5">
        <v>70</v>
      </c>
      <c r="C1690" s="9">
        <v>1</v>
      </c>
      <c r="D1690" s="6">
        <v>1.4054813773717499E-4</v>
      </c>
      <c r="E1690" s="7">
        <v>9.8383696416022397E-3</v>
      </c>
    </row>
    <row r="1691" spans="1:5" x14ac:dyDescent="0.3">
      <c r="A1691" t="str">
        <f>HYPERLINK("https://anilist.co/staff/134744","Staff: Yuriko Ikehara (Animation Director (eps 1, 6, 8-11))")</f>
        <v>Staff: Yuriko Ikehara (Animation Director (eps 1, 6, 8-11))</v>
      </c>
      <c r="B1691" s="5">
        <v>70</v>
      </c>
      <c r="C1691" s="9">
        <v>1</v>
      </c>
      <c r="D1691" s="6">
        <v>1.4054813773717499E-4</v>
      </c>
      <c r="E1691" s="7">
        <v>9.8383696416022397E-3</v>
      </c>
    </row>
    <row r="1692" spans="1:5" x14ac:dyDescent="0.3">
      <c r="A1692" t="str">
        <f>HYPERLINK("https://anilist.co/staff/134736","Staff: Kenji Kondou (Animation Director (ep 3))")</f>
        <v>Staff: Kenji Kondou (Animation Director (ep 3))</v>
      </c>
      <c r="B1692" s="5">
        <v>70</v>
      </c>
      <c r="C1692" s="9">
        <v>1</v>
      </c>
      <c r="D1692" s="6">
        <v>1.4054813773717499E-4</v>
      </c>
      <c r="E1692" s="7">
        <v>9.8383696416022397E-3</v>
      </c>
    </row>
    <row r="1693" spans="1:5" x14ac:dyDescent="0.3">
      <c r="A1693" t="str">
        <f>HYPERLINK("https://anilist.co/staff/110041","Staff: Tadataka Kawasaki (Original Creator)")</f>
        <v>Staff: Tadataka Kawasaki (Original Creator)</v>
      </c>
      <c r="B1693" s="5">
        <v>70</v>
      </c>
      <c r="C1693" s="9">
        <v>1</v>
      </c>
      <c r="D1693" s="6">
        <v>1.4054813773717499E-4</v>
      </c>
      <c r="E1693" s="7">
        <v>9.8383696416022397E-3</v>
      </c>
    </row>
    <row r="1694" spans="1:5" x14ac:dyDescent="0.3">
      <c r="A1694" t="str">
        <f>HYPERLINK("https://anilist.co/staff/116925","Staff: Mayuko Matsumoto (Character Design)")</f>
        <v>Staff: Mayuko Matsumoto (Character Design)</v>
      </c>
      <c r="B1694" s="5">
        <v>70</v>
      </c>
      <c r="C1694" s="9">
        <v>1</v>
      </c>
      <c r="D1694" s="6">
        <v>1.4054813773717499E-4</v>
      </c>
      <c r="E1694" s="7">
        <v>9.8383696416022397E-3</v>
      </c>
    </row>
    <row r="1695" spans="1:5" x14ac:dyDescent="0.3">
      <c r="A1695" t="str">
        <f>HYPERLINK("https://anilist.co/staff/101186","Staff: Takayuki Inagaki (Director)")</f>
        <v>Staff: Takayuki Inagaki (Director)</v>
      </c>
      <c r="B1695" s="5">
        <v>70</v>
      </c>
      <c r="C1695" s="9">
        <v>1</v>
      </c>
      <c r="D1695" s="6">
        <v>1.4054813773717499E-4</v>
      </c>
      <c r="E1695" s="7">
        <v>9.8383696416022397E-3</v>
      </c>
    </row>
    <row r="1696" spans="1:5" x14ac:dyDescent="0.3">
      <c r="A1696" t="str">
        <f>HYPERLINK("https://anilist.co/staff/101186","Staff: Takayuki Inagaki (Series Composition)")</f>
        <v>Staff: Takayuki Inagaki (Series Composition)</v>
      </c>
      <c r="B1696" s="5">
        <v>70</v>
      </c>
      <c r="C1696" s="9">
        <v>1</v>
      </c>
      <c r="D1696" s="6">
        <v>1.4054813773717499E-4</v>
      </c>
      <c r="E1696" s="7">
        <v>9.8383696416022397E-3</v>
      </c>
    </row>
    <row r="1697" spans="1:5" x14ac:dyDescent="0.3">
      <c r="A1697" t="str">
        <f>HYPERLINK("https://anilist.co/staff/148564","Staff: Yumika Ogawa (Color Design)")</f>
        <v>Staff: Yumika Ogawa (Color Design)</v>
      </c>
      <c r="B1697" s="5">
        <v>70</v>
      </c>
      <c r="C1697" s="9">
        <v>1</v>
      </c>
      <c r="D1697" s="6">
        <v>1.4054813773717499E-4</v>
      </c>
      <c r="E1697" s="7">
        <v>9.8383696416022397E-3</v>
      </c>
    </row>
    <row r="1698" spans="1:5" x14ac:dyDescent="0.3">
      <c r="A1698" t="str">
        <f>HYPERLINK("https://anilist.co/staff/148486","Staff: Takashi Tachizaki (Producer)")</f>
        <v>Staff: Takashi Tachizaki (Producer)</v>
      </c>
      <c r="B1698" s="5">
        <v>70</v>
      </c>
      <c r="C1698" s="9">
        <v>1</v>
      </c>
      <c r="D1698" s="6">
        <v>1.4054813773717499E-4</v>
      </c>
      <c r="E1698" s="7">
        <v>9.8383696416022397E-3</v>
      </c>
    </row>
    <row r="1699" spans="1:5" x14ac:dyDescent="0.3">
      <c r="A1699" t="str">
        <f>HYPERLINK("https://anilist.co/staff/147793","Staff: Naoyoshi Kusaka (Episode Director (ep 7))")</f>
        <v>Staff: Naoyoshi Kusaka (Episode Director (ep 7))</v>
      </c>
      <c r="B1699" s="5">
        <v>70</v>
      </c>
      <c r="C1699" s="9">
        <v>1</v>
      </c>
      <c r="D1699" s="6">
        <v>1.4054813773717499E-4</v>
      </c>
      <c r="E1699" s="7">
        <v>9.8383696416022397E-3</v>
      </c>
    </row>
    <row r="1700" spans="1:5" x14ac:dyDescent="0.3">
      <c r="A1700" t="str">
        <f>HYPERLINK("https://anilist.co/staff/120028","Staff: Yoshino Honda (Storyboard (ep 5))")</f>
        <v>Staff: Yoshino Honda (Storyboard (ep 5))</v>
      </c>
      <c r="B1700" s="5">
        <v>70</v>
      </c>
      <c r="C1700" s="9">
        <v>1</v>
      </c>
      <c r="D1700" s="6">
        <v>1.4054813773717499E-4</v>
      </c>
      <c r="E1700" s="7">
        <v>9.8383696416022397E-3</v>
      </c>
    </row>
    <row r="1701" spans="1:5" x14ac:dyDescent="0.3">
      <c r="A1701" t="str">
        <f>HYPERLINK("https://anilist.co/staff/101186","Staff: Takayuki Inagaki (Storyboard (eps 1, 2, 4, 8, 9, 12))")</f>
        <v>Staff: Takayuki Inagaki (Storyboard (eps 1, 2, 4, 8, 9, 12))</v>
      </c>
      <c r="B1701" s="5">
        <v>70</v>
      </c>
      <c r="C1701" s="9">
        <v>1</v>
      </c>
      <c r="D1701" s="6">
        <v>1.4054813773717499E-4</v>
      </c>
      <c r="E1701" s="7">
        <v>9.8383696416022397E-3</v>
      </c>
    </row>
    <row r="1702" spans="1:5" x14ac:dyDescent="0.3">
      <c r="A1702" t="str">
        <f>HYPERLINK("https://anilist.co/staff/132891","Staff: Takayuki Yamaguchi (Sound Director)")</f>
        <v>Staff: Takayuki Yamaguchi (Sound Director)</v>
      </c>
      <c r="B1702" s="5">
        <v>70</v>
      </c>
      <c r="C1702" s="9">
        <v>1</v>
      </c>
      <c r="D1702" s="6">
        <v>1.4054813773717499E-4</v>
      </c>
      <c r="E1702" s="7">
        <v>9.8383696416022397E-3</v>
      </c>
    </row>
    <row r="1703" spans="1:5" x14ac:dyDescent="0.3">
      <c r="A1703" t="str">
        <f>HYPERLINK("https://anilist.co/staff/147793","Staff: Naoyoshi Kusaka (Storyboard (eps 7, 10))")</f>
        <v>Staff: Naoyoshi Kusaka (Storyboard (eps 7, 10))</v>
      </c>
      <c r="B1703" s="5">
        <v>70</v>
      </c>
      <c r="C1703" s="9">
        <v>1</v>
      </c>
      <c r="D1703" s="6">
        <v>1.4054813773717499E-4</v>
      </c>
      <c r="E1703" s="7">
        <v>9.8383696416022397E-3</v>
      </c>
    </row>
    <row r="1704" spans="1:5" x14ac:dyDescent="0.3">
      <c r="A1704" t="str">
        <f>HYPERLINK("https://anilist.co/staff/119891","Staff: Toshikatsu Tokoro (Episode Director (ep 9))")</f>
        <v>Staff: Toshikatsu Tokoro (Episode Director (ep 9))</v>
      </c>
      <c r="B1704" s="5">
        <v>70</v>
      </c>
      <c r="C1704" s="9">
        <v>1</v>
      </c>
      <c r="D1704" s="6">
        <v>1.4054813773717499E-4</v>
      </c>
      <c r="E1704" s="7">
        <v>9.8383696416022397E-3</v>
      </c>
    </row>
    <row r="1705" spans="1:5" x14ac:dyDescent="0.3">
      <c r="A1705" t="str">
        <f>HYPERLINK("https://anilist.co/staff/152510","Staff: Hye-Jin Seo (Episode Director (ep 2))")</f>
        <v>Staff: Hye-Jin Seo (Episode Director (ep 2))</v>
      </c>
      <c r="B1705" s="5">
        <v>70</v>
      </c>
      <c r="C1705" s="9">
        <v>1</v>
      </c>
      <c r="D1705" s="6">
        <v>1.4054813773717499E-4</v>
      </c>
      <c r="E1705" s="7">
        <v>9.8383696416022397E-3</v>
      </c>
    </row>
    <row r="1706" spans="1:5" x14ac:dyDescent="0.3">
      <c r="A1706" t="str">
        <f>HYPERLINK("https://anilist.co/staff/106426","Staff: Fumitoshi Oizaki (Storyboard (eps 6, 8))")</f>
        <v>Staff: Fumitoshi Oizaki (Storyboard (eps 6, 8))</v>
      </c>
      <c r="B1706" s="5">
        <v>70</v>
      </c>
      <c r="C1706" s="9">
        <v>1</v>
      </c>
      <c r="D1706" s="6">
        <v>1.4054813773717499E-4</v>
      </c>
      <c r="E1706" s="7">
        <v>9.8383696416022397E-3</v>
      </c>
    </row>
    <row r="1707" spans="1:5" x14ac:dyDescent="0.3">
      <c r="A1707" t="str">
        <f>HYPERLINK("https://anilist.co/staff/133988","Staff: Yoshito Hata (Episode Director (ep 5))")</f>
        <v>Staff: Yoshito Hata (Episode Director (ep 5))</v>
      </c>
      <c r="B1707" s="5">
        <v>70</v>
      </c>
      <c r="C1707" s="9">
        <v>1</v>
      </c>
      <c r="D1707" s="6">
        <v>1.4054813773717499E-4</v>
      </c>
      <c r="E1707" s="7">
        <v>9.8383696416022397E-3</v>
      </c>
    </row>
    <row r="1708" spans="1:5" x14ac:dyDescent="0.3">
      <c r="A1708" t="str">
        <f>HYPERLINK("https://anilist.co/staff/101186","Staff: Takayuki Inagaki (Episode Director (eps 1, 4, 6, 12))")</f>
        <v>Staff: Takayuki Inagaki (Episode Director (eps 1, 4, 6, 12))</v>
      </c>
      <c r="B1708" s="5">
        <v>70</v>
      </c>
      <c r="C1708" s="9">
        <v>1</v>
      </c>
      <c r="D1708" s="6">
        <v>1.4054813773717499E-4</v>
      </c>
      <c r="E1708" s="7">
        <v>9.8383696416022397E-3</v>
      </c>
    </row>
    <row r="1709" spans="1:5" x14ac:dyDescent="0.3">
      <c r="A1709" t="str">
        <f>HYPERLINK("https://anilist.co/staff/116925","Staff: Mayuko Matsumoto (Chief Animation Director (eps 1, 2, 9, 10, 12))")</f>
        <v>Staff: Mayuko Matsumoto (Chief Animation Director (eps 1, 2, 9, 10, 12))</v>
      </c>
      <c r="B1709" s="5">
        <v>70</v>
      </c>
      <c r="C1709" s="9">
        <v>1</v>
      </c>
      <c r="D1709" s="6">
        <v>1.4054813773717499E-4</v>
      </c>
      <c r="E1709" s="7">
        <v>9.8383696416022397E-3</v>
      </c>
    </row>
    <row r="1710" spans="1:5" x14ac:dyDescent="0.3">
      <c r="A1710" t="str">
        <f>HYPERLINK("https://anilist.co/staff/113601","Staff: Naomi Ide (Chief Animation Director (ep 9, 12))")</f>
        <v>Staff: Naomi Ide (Chief Animation Director (ep 9, 12))</v>
      </c>
      <c r="B1710" s="5">
        <v>70</v>
      </c>
      <c r="C1710" s="9">
        <v>1</v>
      </c>
      <c r="D1710" s="6">
        <v>1.4054813773717499E-4</v>
      </c>
      <c r="E1710" s="7">
        <v>9.8383696416022397E-3</v>
      </c>
    </row>
    <row r="1711" spans="1:5" x14ac:dyDescent="0.3">
      <c r="A1711" t="str">
        <f>HYPERLINK("https://anilist.co/staff/153769","Staff: Tsuyoshi Kimura (Storyboard (ep 11))")</f>
        <v>Staff: Tsuyoshi Kimura (Storyboard (ep 11))</v>
      </c>
      <c r="B1711" s="5">
        <v>70</v>
      </c>
      <c r="C1711" s="9">
        <v>1</v>
      </c>
      <c r="D1711" s="6">
        <v>1.4054813773717499E-4</v>
      </c>
      <c r="E1711" s="7">
        <v>9.8383696416022397E-3</v>
      </c>
    </row>
    <row r="1712" spans="1:5" x14ac:dyDescent="0.3">
      <c r="A1712" t="str">
        <f>HYPERLINK("https://anilist.co/staff/153767","Staff: Hiroshi Kubo (Episode Director (ep 10))")</f>
        <v>Staff: Hiroshi Kubo (Episode Director (ep 10))</v>
      </c>
      <c r="B1712" s="5">
        <v>70</v>
      </c>
      <c r="C1712" s="9">
        <v>1</v>
      </c>
      <c r="D1712" s="6">
        <v>1.4054813773717499E-4</v>
      </c>
      <c r="E1712" s="7">
        <v>9.8383696416022397E-3</v>
      </c>
    </row>
    <row r="1713" spans="1:5" x14ac:dyDescent="0.3">
      <c r="A1713" t="str">
        <f>HYPERLINK("https://anilist.co/staff/153766","Staff: Nozomu Kamiya (Episode Director (ep 8))")</f>
        <v>Staff: Nozomu Kamiya (Episode Director (ep 8))</v>
      </c>
      <c r="B1713" s="5">
        <v>70</v>
      </c>
      <c r="C1713" s="9">
        <v>1</v>
      </c>
      <c r="D1713" s="6">
        <v>1.4054813773717499E-4</v>
      </c>
      <c r="E1713" s="7">
        <v>9.8383696416022397E-3</v>
      </c>
    </row>
    <row r="1714" spans="1:5" x14ac:dyDescent="0.3">
      <c r="A1714" t="str">
        <f>HYPERLINK("https://anilist.co/staff/153765","Staff: Hayato Kifune (Director of Photography)")</f>
        <v>Staff: Hayato Kifune (Director of Photography)</v>
      </c>
      <c r="B1714" s="5">
        <v>70</v>
      </c>
      <c r="C1714" s="9">
        <v>1</v>
      </c>
      <c r="D1714" s="6">
        <v>1.4054813773717499E-4</v>
      </c>
      <c r="E1714" s="7">
        <v>9.8383696416022397E-3</v>
      </c>
    </row>
    <row r="1715" spans="1:5" x14ac:dyDescent="0.3">
      <c r="A1715" t="str">
        <f>HYPERLINK("https://anilist.co/staff/111265","Staff: Kazusa Yoneda (Original Creator)")</f>
        <v>Staff: Kazusa Yoneda (Original Creator)</v>
      </c>
      <c r="B1715" s="5">
        <v>70</v>
      </c>
      <c r="C1715" s="9">
        <v>1</v>
      </c>
      <c r="D1715" s="6">
        <v>1.4054813773717499E-4</v>
      </c>
      <c r="E1715" s="7">
        <v>9.8383696416022397E-3</v>
      </c>
    </row>
    <row r="1716" spans="1:5" x14ac:dyDescent="0.3">
      <c r="A1716" t="str">
        <f>HYPERLINK("https://anilist.co/staff/109707","Staff: Hiroshi Kimura (Director)")</f>
        <v>Staff: Hiroshi Kimura (Director)</v>
      </c>
      <c r="B1716" s="5">
        <v>70</v>
      </c>
      <c r="C1716" s="9">
        <v>1</v>
      </c>
      <c r="D1716" s="6">
        <v>1.4054813773717499E-4</v>
      </c>
      <c r="E1716" s="7">
        <v>9.8383696416022397E-3</v>
      </c>
    </row>
    <row r="1717" spans="1:5" x14ac:dyDescent="0.3">
      <c r="A1717" t="str">
        <f>HYPERLINK("https://anilist.co/staff/118557","Staff: Masakatsu Oomuro (Sound Director)")</f>
        <v>Staff: Masakatsu Oomuro (Sound Director)</v>
      </c>
      <c r="B1717" s="5">
        <v>70</v>
      </c>
      <c r="C1717" s="9">
        <v>1</v>
      </c>
      <c r="D1717" s="6">
        <v>1.4054813773717499E-4</v>
      </c>
      <c r="E1717" s="7">
        <v>9.8383696416022397E-3</v>
      </c>
    </row>
    <row r="1718" spans="1:5" x14ac:dyDescent="0.3">
      <c r="A1718" t="str">
        <f>HYPERLINK("https://anilist.co/staff/119575","Staff: Eriko Itou (Character Design)")</f>
        <v>Staff: Eriko Itou (Character Design)</v>
      </c>
      <c r="B1718" s="5">
        <v>70</v>
      </c>
      <c r="C1718" s="9">
        <v>1</v>
      </c>
      <c r="D1718" s="6">
        <v>1.4054813773717499E-4</v>
      </c>
      <c r="E1718" s="7">
        <v>9.8383696416022397E-3</v>
      </c>
    </row>
    <row r="1719" spans="1:5" x14ac:dyDescent="0.3">
      <c r="A1719" t="str">
        <f>HYPERLINK("https://anilist.co/staff/120296","Staff: Hisayoshi Hirasawa (Producer)")</f>
        <v>Staff: Hisayoshi Hirasawa (Producer)</v>
      </c>
      <c r="B1719" s="5">
        <v>70</v>
      </c>
      <c r="C1719" s="9">
        <v>1</v>
      </c>
      <c r="D1719" s="6">
        <v>1.4054813773717499E-4</v>
      </c>
      <c r="E1719" s="7">
        <v>9.8383696416022397E-3</v>
      </c>
    </row>
    <row r="1720" spans="1:5" x14ac:dyDescent="0.3">
      <c r="A1720" t="str">
        <f>HYPERLINK("https://anilist.co/staff/156946","Staff: Saori Tachibana (2D Works (ep 8))")</f>
        <v>Staff: Saori Tachibana (2D Works (ep 8))</v>
      </c>
      <c r="B1720" s="5">
        <v>70</v>
      </c>
      <c r="C1720" s="9">
        <v>1</v>
      </c>
      <c r="D1720" s="6">
        <v>1.4054813773717499E-4</v>
      </c>
      <c r="E1720" s="7">
        <v>9.8383696416022397E-3</v>
      </c>
    </row>
    <row r="1721" spans="1:5" x14ac:dyDescent="0.3">
      <c r="A1721" t="str">
        <f>HYPERLINK("https://anilist.co/staff/104553","Staff:  FLIPFLOPs (Original Creator)")</f>
        <v>Staff:  FLIPFLOPs (Original Creator)</v>
      </c>
      <c r="B1721" s="5">
        <v>70</v>
      </c>
      <c r="C1721" s="9">
        <v>1</v>
      </c>
      <c r="D1721" s="6">
        <v>1.4054813773717499E-4</v>
      </c>
      <c r="E1721" s="7">
        <v>9.8383696416022397E-3</v>
      </c>
    </row>
    <row r="1722" spans="1:5" x14ac:dyDescent="0.3">
      <c r="A1722" t="str">
        <f>HYPERLINK("https://anilist.co/staff/123133","Staff: Yoshinobu Tokumoto (Director)")</f>
        <v>Staff: Yoshinobu Tokumoto (Director)</v>
      </c>
      <c r="B1722" s="5">
        <v>70</v>
      </c>
      <c r="C1722" s="9">
        <v>1</v>
      </c>
      <c r="D1722" s="6">
        <v>1.4054813773717499E-4</v>
      </c>
      <c r="E1722" s="7">
        <v>9.8383696416022397E-3</v>
      </c>
    </row>
    <row r="1723" spans="1:5" x14ac:dyDescent="0.3">
      <c r="A1723" t="str">
        <f>HYPERLINK("https://anilist.co/staff/149948","Staff: Kazuya Nakanishi (Character Design)")</f>
        <v>Staff: Kazuya Nakanishi (Character Design)</v>
      </c>
      <c r="B1723" s="5">
        <v>70</v>
      </c>
      <c r="C1723" s="9">
        <v>1</v>
      </c>
      <c r="D1723" s="6">
        <v>1.4054813773717499E-4</v>
      </c>
      <c r="E1723" s="7">
        <v>9.8383696416022397E-3</v>
      </c>
    </row>
    <row r="1724" spans="1:5" x14ac:dyDescent="0.3">
      <c r="A1724" t="str">
        <f>HYPERLINK("https://anilist.co/staff/119879","Staff: Mashiro Ayano (Theme Song Performance (ED))")</f>
        <v>Staff: Mashiro Ayano (Theme Song Performance (ED))</v>
      </c>
      <c r="B1724" s="5">
        <v>70</v>
      </c>
      <c r="C1724" s="9">
        <v>1</v>
      </c>
      <c r="D1724" s="6">
        <v>1.4054813773717499E-4</v>
      </c>
      <c r="E1724" s="7">
        <v>9.8383696416022397E-3</v>
      </c>
    </row>
    <row r="1725" spans="1:5" x14ac:dyDescent="0.3">
      <c r="A1725" t="str">
        <f>HYPERLINK("https://anilist.co/staff/123402","Staff: ASCA  (Theme Song Performance (OP))")</f>
        <v>Staff: ASCA  (Theme Song Performance (OP))</v>
      </c>
      <c r="B1725" s="5">
        <v>70</v>
      </c>
      <c r="C1725" s="9">
        <v>1</v>
      </c>
      <c r="D1725" s="6">
        <v>1.4054813773717499E-4</v>
      </c>
      <c r="E1725" s="7">
        <v>9.8383696416022397E-3</v>
      </c>
    </row>
    <row r="1726" spans="1:5" x14ac:dyDescent="0.3">
      <c r="A1726" t="str">
        <f>HYPERLINK("https://anilist.co/staff/154032","Staff: Naoto Tanaka (Color Design)")</f>
        <v>Staff: Naoto Tanaka (Color Design)</v>
      </c>
      <c r="B1726" s="5">
        <v>70</v>
      </c>
      <c r="C1726" s="9">
        <v>1</v>
      </c>
      <c r="D1726" s="6">
        <v>1.4054813773717499E-4</v>
      </c>
      <c r="E1726" s="7">
        <v>9.8383696416022397E-3</v>
      </c>
    </row>
    <row r="1727" spans="1:5" x14ac:dyDescent="0.3">
      <c r="A1727" t="str">
        <f>HYPERLINK("https://anilist.co/staff/155310","Staff: Shinji Ikeda (CG Director)")</f>
        <v>Staff: Shinji Ikeda (CG Director)</v>
      </c>
      <c r="B1727" s="5">
        <v>70</v>
      </c>
      <c r="C1727" s="9">
        <v>1</v>
      </c>
      <c r="D1727" s="6">
        <v>1.4054813773717499E-4</v>
      </c>
      <c r="E1727" s="7">
        <v>9.8383696416022397E-3</v>
      </c>
    </row>
    <row r="1728" spans="1:5" x14ac:dyDescent="0.3">
      <c r="A1728" t="str">
        <f>HYPERLINK("https://anilist.co/staff/156228","Staff: Kei Takeuchi (Art Director)")</f>
        <v>Staff: Kei Takeuchi (Art Director)</v>
      </c>
      <c r="B1728" s="5">
        <v>70</v>
      </c>
      <c r="C1728" s="9">
        <v>1</v>
      </c>
      <c r="D1728" s="6">
        <v>1.4054813773717499E-4</v>
      </c>
      <c r="E1728" s="7">
        <v>9.8383696416022397E-3</v>
      </c>
    </row>
    <row r="1729" spans="1:5" x14ac:dyDescent="0.3">
      <c r="A1729" t="str">
        <f>HYPERLINK("https://anilist.co/staff/156229","Staff: Shuu Miyama (Series Composition)")</f>
        <v>Staff: Shuu Miyama (Series Composition)</v>
      </c>
      <c r="B1729" s="5">
        <v>70</v>
      </c>
      <c r="C1729" s="9">
        <v>1</v>
      </c>
      <c r="D1729" s="6">
        <v>1.4054813773717499E-4</v>
      </c>
      <c r="E1729" s="7">
        <v>9.8383696416022397E-3</v>
      </c>
    </row>
    <row r="1730" spans="1:5" x14ac:dyDescent="0.3">
      <c r="A1730" t="str">
        <f>HYPERLINK("https://anilist.co/staff/156230","Staff: Daichi Kitahara (Prop Design)")</f>
        <v>Staff: Daichi Kitahara (Prop Design)</v>
      </c>
      <c r="B1730" s="5">
        <v>70</v>
      </c>
      <c r="C1730" s="9">
        <v>1</v>
      </c>
      <c r="D1730" s="6">
        <v>1.4054813773717499E-4</v>
      </c>
      <c r="E1730" s="7">
        <v>9.8383696416022397E-3</v>
      </c>
    </row>
    <row r="1731" spans="1:5" x14ac:dyDescent="0.3">
      <c r="A1731" t="str">
        <f>HYPERLINK("https://anilist.co/staff/156231","Staff: Junko Okazaki (Color Design)")</f>
        <v>Staff: Junko Okazaki (Color Design)</v>
      </c>
      <c r="B1731" s="5">
        <v>70</v>
      </c>
      <c r="C1731" s="9">
        <v>1</v>
      </c>
      <c r="D1731" s="6">
        <v>1.4054813773717499E-4</v>
      </c>
      <c r="E1731" s="7">
        <v>9.8383696416022397E-3</v>
      </c>
    </row>
    <row r="1732" spans="1:5" x14ac:dyDescent="0.3">
      <c r="A1732" t="str">
        <f>HYPERLINK("https://anilist.co/staff/156232","Staff: Kenichi Kaneko (Weapon Supervisor)")</f>
        <v>Staff: Kenichi Kaneko (Weapon Supervisor)</v>
      </c>
      <c r="B1732" s="5">
        <v>70</v>
      </c>
      <c r="C1732" s="9">
        <v>1</v>
      </c>
      <c r="D1732" s="6">
        <v>1.4054813773717499E-4</v>
      </c>
      <c r="E1732" s="7">
        <v>9.8383696416022397E-3</v>
      </c>
    </row>
    <row r="1733" spans="1:5" x14ac:dyDescent="0.3">
      <c r="A1733" t="str">
        <f>HYPERLINK("https://anilist.co/staff/156229","Staff: Shuu Miyama (Script)")</f>
        <v>Staff: Shuu Miyama (Script)</v>
      </c>
      <c r="B1733" s="5">
        <v>70</v>
      </c>
      <c r="C1733" s="9">
        <v>1</v>
      </c>
      <c r="D1733" s="6">
        <v>1.4054813773717499E-4</v>
      </c>
      <c r="E1733" s="7">
        <v>9.8383696416022397E-3</v>
      </c>
    </row>
    <row r="1734" spans="1:5" x14ac:dyDescent="0.3">
      <c r="A1734" t="str">
        <f>HYPERLINK("https://anilist.co/staff/156230","Staff: Daichi Kitahara (Weapon Design)")</f>
        <v>Staff: Daichi Kitahara (Weapon Design)</v>
      </c>
      <c r="B1734" s="5">
        <v>70</v>
      </c>
      <c r="C1734" s="9">
        <v>1</v>
      </c>
      <c r="D1734" s="6">
        <v>1.4054813773717499E-4</v>
      </c>
      <c r="E1734" s="7">
        <v>9.8383696416022397E-3</v>
      </c>
    </row>
    <row r="1735" spans="1:5" x14ac:dyDescent="0.3">
      <c r="A1735" t="str">
        <f>HYPERLINK("https://anilist.co/staff/149948","Staff: Kazuya Nakanishi (Chief Animation Director (OP, ep 1))")</f>
        <v>Staff: Kazuya Nakanishi (Chief Animation Director (OP, ep 1))</v>
      </c>
      <c r="B1735" s="5">
        <v>70</v>
      </c>
      <c r="C1735" s="9">
        <v>1</v>
      </c>
      <c r="D1735" s="6">
        <v>1.4054813773717499E-4</v>
      </c>
      <c r="E1735" s="7">
        <v>9.8383696416022397E-3</v>
      </c>
    </row>
    <row r="1736" spans="1:5" x14ac:dyDescent="0.3">
      <c r="A1736" t="str">
        <f>HYPERLINK("https://anilist.co/staff/149948","Staff: Kazuya Nakanishi (Storyboard (OP))")</f>
        <v>Staff: Kazuya Nakanishi (Storyboard (OP))</v>
      </c>
      <c r="B1736" s="5">
        <v>70</v>
      </c>
      <c r="C1736" s="9">
        <v>1</v>
      </c>
      <c r="D1736" s="6">
        <v>1.4054813773717499E-4</v>
      </c>
      <c r="E1736" s="7">
        <v>9.8383696416022397E-3</v>
      </c>
    </row>
    <row r="1737" spans="1:5" x14ac:dyDescent="0.3">
      <c r="A1737" t="str">
        <f>HYPERLINK("https://anilist.co/staff/149948","Staff: Kazuya Nakanishi (Action Animation Director (OP, ep 1))")</f>
        <v>Staff: Kazuya Nakanishi (Action Animation Director (OP, ep 1))</v>
      </c>
      <c r="B1737" s="5">
        <v>70</v>
      </c>
      <c r="C1737" s="9">
        <v>1</v>
      </c>
      <c r="D1737" s="6">
        <v>1.4054813773717499E-4</v>
      </c>
      <c r="E1737" s="7">
        <v>9.8383696416022397E-3</v>
      </c>
    </row>
    <row r="1738" spans="1:5" x14ac:dyDescent="0.3">
      <c r="A1738" t="str">
        <f>HYPERLINK("https://anilist.co/staff/123133","Staff: Yoshinobu Tokumoto (Storyboard (ep 1))")</f>
        <v>Staff: Yoshinobu Tokumoto (Storyboard (ep 1))</v>
      </c>
      <c r="B1738" s="5">
        <v>70</v>
      </c>
      <c r="C1738" s="9">
        <v>1</v>
      </c>
      <c r="D1738" s="6">
        <v>1.4054813773717499E-4</v>
      </c>
      <c r="E1738" s="7">
        <v>9.8383696416022397E-3</v>
      </c>
    </row>
    <row r="1739" spans="1:5" x14ac:dyDescent="0.3">
      <c r="A1739" t="str">
        <f>HYPERLINK("https://anilist.co/staff/149948","Staff: Kazuya Nakanishi (Key Animation (OP, ep 1))")</f>
        <v>Staff: Kazuya Nakanishi (Key Animation (OP, ep 1))</v>
      </c>
      <c r="B1739" s="5">
        <v>70</v>
      </c>
      <c r="C1739" s="9">
        <v>1</v>
      </c>
      <c r="D1739" s="6">
        <v>1.4054813773717499E-4</v>
      </c>
      <c r="E1739" s="7">
        <v>9.8383696416022397E-3</v>
      </c>
    </row>
    <row r="1740" spans="1:5" x14ac:dyDescent="0.3">
      <c r="A1740" t="str">
        <f>HYPERLINK("https://anilist.co/staff/149948","Staff: Kazuya Nakanishi (Animation Director (OP, ep 1))")</f>
        <v>Staff: Kazuya Nakanishi (Animation Director (OP, ep 1))</v>
      </c>
      <c r="B1740" s="5">
        <v>70</v>
      </c>
      <c r="C1740" s="9">
        <v>1</v>
      </c>
      <c r="D1740" s="6">
        <v>1.4054813773717499E-4</v>
      </c>
      <c r="E1740" s="7">
        <v>9.8383696416022397E-3</v>
      </c>
    </row>
    <row r="1741" spans="1:5" x14ac:dyDescent="0.3">
      <c r="A1741" t="str">
        <f>HYPERLINK("https://anilist.co/staff/146326","Staff: Takeshi Hirooka (Episode Director (OP))")</f>
        <v>Staff: Takeshi Hirooka (Episode Director (OP))</v>
      </c>
      <c r="B1741" s="5">
        <v>70</v>
      </c>
      <c r="C1741" s="9">
        <v>1</v>
      </c>
      <c r="D1741" s="6">
        <v>1.4054813773717499E-4</v>
      </c>
      <c r="E1741" s="7">
        <v>9.8383696416022397E-3</v>
      </c>
    </row>
    <row r="1742" spans="1:5" x14ac:dyDescent="0.3">
      <c r="A1742" t="str">
        <f>HYPERLINK("https://anilist.co/staff/97251","Staff: Kouta Hirano (Original Creator)")</f>
        <v>Staff: Kouta Hirano (Original Creator)</v>
      </c>
      <c r="B1742" s="5">
        <v>70</v>
      </c>
      <c r="C1742" s="9">
        <v>1</v>
      </c>
      <c r="D1742" s="6">
        <v>1.4054813773717499E-4</v>
      </c>
      <c r="E1742" s="7">
        <v>9.8383696416022397E-3</v>
      </c>
    </row>
    <row r="1743" spans="1:5" x14ac:dyDescent="0.3">
      <c r="A1743" t="str">
        <f>HYPERLINK("https://anilist.co/staff/106019","Staff: Hayato Matsuo (Music)")</f>
        <v>Staff: Hayato Matsuo (Music)</v>
      </c>
      <c r="B1743" s="5">
        <v>70</v>
      </c>
      <c r="C1743" s="9">
        <v>1</v>
      </c>
      <c r="D1743" s="6">
        <v>1.4054813773717499E-4</v>
      </c>
      <c r="E1743" s="7">
        <v>9.8383696416022397E-3</v>
      </c>
    </row>
    <row r="1744" spans="1:5" x14ac:dyDescent="0.3">
      <c r="A1744" t="str">
        <f>HYPERLINK("https://anilist.co/staff/100346","Staff: Yasushi Ishii (Music)")</f>
        <v>Staff: Yasushi Ishii (Music)</v>
      </c>
      <c r="B1744" s="5">
        <v>70</v>
      </c>
      <c r="C1744" s="9">
        <v>1</v>
      </c>
      <c r="D1744" s="6">
        <v>1.4054813773717499E-4</v>
      </c>
      <c r="E1744" s="7">
        <v>9.8383696416022397E-3</v>
      </c>
    </row>
    <row r="1745" spans="1:5" x14ac:dyDescent="0.3">
      <c r="A1745" t="str">
        <f>HYPERLINK("https://anilist.co/staff/120645","Staff: Ryouji Nakamori (Character Design)")</f>
        <v>Staff: Ryouji Nakamori (Character Design)</v>
      </c>
      <c r="B1745" s="5">
        <v>70</v>
      </c>
      <c r="C1745" s="9">
        <v>1</v>
      </c>
      <c r="D1745" s="6">
        <v>1.4054813773717499E-4</v>
      </c>
      <c r="E1745" s="7">
        <v>9.8383696416022397E-3</v>
      </c>
    </row>
    <row r="1746" spans="1:5" x14ac:dyDescent="0.3">
      <c r="A1746" t="str">
        <f>HYPERLINK("https://anilist.co/staff/120645","Staff: Ryouji Nakamori (Chief Animation Director)")</f>
        <v>Staff: Ryouji Nakamori (Chief Animation Director)</v>
      </c>
      <c r="B1746" s="5">
        <v>70</v>
      </c>
      <c r="C1746" s="9">
        <v>1</v>
      </c>
      <c r="D1746" s="6">
        <v>1.4054813773717499E-4</v>
      </c>
      <c r="E1746" s="7">
        <v>9.8383696416022397E-3</v>
      </c>
    </row>
    <row r="1747" spans="1:5" x14ac:dyDescent="0.3">
      <c r="A1747" t="str">
        <f>HYPERLINK("https://anilist.co/staff/106340","Staff: Maon Kurosaki (Theme Song Performance (ED))")</f>
        <v>Staff: Maon Kurosaki (Theme Song Performance (ED))</v>
      </c>
      <c r="B1747" s="5">
        <v>70</v>
      </c>
      <c r="C1747" s="9">
        <v>1</v>
      </c>
      <c r="D1747" s="6">
        <v>1.4054813773717499E-4</v>
      </c>
      <c r="E1747" s="7">
        <v>9.8383696416022397E-3</v>
      </c>
    </row>
    <row r="1748" spans="1:5" x14ac:dyDescent="0.3">
      <c r="A1748" t="str">
        <f>HYPERLINK("https://anilist.co/staff/120544","Staff: Tetsuo Hirakawa (Storyboard (ep 6))")</f>
        <v>Staff: Tetsuo Hirakawa (Storyboard (ep 6))</v>
      </c>
      <c r="B1748" s="5">
        <v>70</v>
      </c>
      <c r="C1748" s="9">
        <v>1</v>
      </c>
      <c r="D1748" s="6">
        <v>1.4054813773717499E-4</v>
      </c>
      <c r="E1748" s="7">
        <v>9.8383696416022397E-3</v>
      </c>
    </row>
    <row r="1749" spans="1:5" x14ac:dyDescent="0.3">
      <c r="A1749" t="str">
        <f>HYPERLINK("https://anilist.co/staff/123510","Staff: Yasuto Nishikata (Episode Director (ep 5))")</f>
        <v>Staff: Yasuto Nishikata (Episode Director (ep 5))</v>
      </c>
      <c r="B1749" s="5">
        <v>70</v>
      </c>
      <c r="C1749" s="9">
        <v>1</v>
      </c>
      <c r="D1749" s="6">
        <v>1.4054813773717499E-4</v>
      </c>
      <c r="E1749" s="7">
        <v>9.8383696416022397E-3</v>
      </c>
    </row>
    <row r="1750" spans="1:5" x14ac:dyDescent="0.3">
      <c r="A1750" t="str">
        <f>HYPERLINK("https://anilist.co/staff/118442","Staff: Kenichi Kawamura (Storyboard (ep 4))")</f>
        <v>Staff: Kenichi Kawamura (Storyboard (ep 4))</v>
      </c>
      <c r="B1750" s="5">
        <v>70</v>
      </c>
      <c r="C1750" s="9">
        <v>1</v>
      </c>
      <c r="D1750" s="6">
        <v>1.4054813773717499E-4</v>
      </c>
      <c r="E1750" s="7">
        <v>9.8383696416022397E-3</v>
      </c>
    </row>
    <row r="1751" spans="1:5" x14ac:dyDescent="0.3">
      <c r="A1751" t="str">
        <f>HYPERLINK("https://anilist.co/staff/133281","Staff: Hiroshi Saitou (Director of Photography)")</f>
        <v>Staff: Hiroshi Saitou (Director of Photography)</v>
      </c>
      <c r="B1751" s="5">
        <v>70</v>
      </c>
      <c r="C1751" s="9">
        <v>1</v>
      </c>
      <c r="D1751" s="6">
        <v>1.4054813773717499E-4</v>
      </c>
      <c r="E1751" s="7">
        <v>9.8383696416022397E-3</v>
      </c>
    </row>
    <row r="1752" spans="1:5" x14ac:dyDescent="0.3">
      <c r="A1752" t="str">
        <f>HYPERLINK("https://anilist.co/staff/145859","Staff: Minutes Til Midnight (Theme Song Performance (OP))")</f>
        <v>Staff: Minutes Til Midnight (Theme Song Performance (OP))</v>
      </c>
      <c r="B1752" s="5">
        <v>70</v>
      </c>
      <c r="C1752" s="9">
        <v>1</v>
      </c>
      <c r="D1752" s="6">
        <v>1.4054813773717499E-4</v>
      </c>
      <c r="E1752" s="7">
        <v>9.8383696416022397E-3</v>
      </c>
    </row>
    <row r="1753" spans="1:5" x14ac:dyDescent="0.3">
      <c r="A1753" t="str">
        <f>HYPERLINK("https://anilist.co/staff/120489","Staff: Yabako Sandrovich (Original Story)")</f>
        <v>Staff: Yabako Sandrovich (Original Story)</v>
      </c>
      <c r="B1753" s="5">
        <v>70</v>
      </c>
      <c r="C1753" s="9">
        <v>1</v>
      </c>
      <c r="D1753" s="6">
        <v>1.4054813773717499E-4</v>
      </c>
      <c r="E1753" s="7">
        <v>9.8383696416022397E-3</v>
      </c>
    </row>
    <row r="1754" spans="1:5" x14ac:dyDescent="0.3">
      <c r="A1754" t="str">
        <f>HYPERLINK("https://anilist.co/staff/120490","Staff: Maam (Original Character Design)")</f>
        <v>Staff: Maam (Original Character Design)</v>
      </c>
      <c r="B1754" s="5">
        <v>70</v>
      </c>
      <c r="C1754" s="9">
        <v>1</v>
      </c>
      <c r="D1754" s="6">
        <v>1.4054813773717499E-4</v>
      </c>
      <c r="E1754" s="7">
        <v>9.8383696416022397E-3</v>
      </c>
    </row>
    <row r="1755" spans="1:5" x14ac:dyDescent="0.3">
      <c r="A1755" t="str">
        <f>HYPERLINK("https://anilist.co/staff/133625","Staff: Fairouz Ai (Theme Song Performance (OP))")</f>
        <v>Staff: Fairouz Ai (Theme Song Performance (OP))</v>
      </c>
      <c r="B1755" s="5">
        <v>70</v>
      </c>
      <c r="C1755" s="9">
        <v>1</v>
      </c>
      <c r="D1755" s="6">
        <v>1.4054813773717499E-4</v>
      </c>
      <c r="E1755" s="7">
        <v>9.8383696416022397E-3</v>
      </c>
    </row>
    <row r="1756" spans="1:5" x14ac:dyDescent="0.3">
      <c r="A1756" t="str">
        <f>HYPERLINK("https://anilist.co/staff/115156","Staff: Kaito Ishikawa (Theme Song Performance (OP, ED))")</f>
        <v>Staff: Kaito Ishikawa (Theme Song Performance (OP, ED))</v>
      </c>
      <c r="B1756" s="5">
        <v>70</v>
      </c>
      <c r="C1756" s="9">
        <v>1</v>
      </c>
      <c r="D1756" s="6">
        <v>1.4054813773717499E-4</v>
      </c>
      <c r="E1756" s="7">
        <v>9.8383696416022397E-3</v>
      </c>
    </row>
    <row r="1757" spans="1:5" x14ac:dyDescent="0.3">
      <c r="A1757" t="str">
        <f>HYPERLINK("https://anilist.co/staff/104091","Staff: Alexis Tipton (Assistant ADR Director (English))")</f>
        <v>Staff: Alexis Tipton (Assistant ADR Director (English))</v>
      </c>
      <c r="B1757" s="5">
        <v>70</v>
      </c>
      <c r="C1757" s="9">
        <v>1</v>
      </c>
      <c r="D1757" s="6">
        <v>1.4054813773717499E-4</v>
      </c>
      <c r="E1757" s="7">
        <v>9.8383696416022397E-3</v>
      </c>
    </row>
    <row r="1758" spans="1:5" x14ac:dyDescent="0.3">
      <c r="A1758" t="str">
        <f>HYPERLINK("https://anilist.co/staff/104093","Staff: Gino Palencia (Mixing Engineer (English))")</f>
        <v>Staff: Gino Palencia (Mixing Engineer (English))</v>
      </c>
      <c r="B1758" s="5">
        <v>70</v>
      </c>
      <c r="C1758" s="9">
        <v>1</v>
      </c>
      <c r="D1758" s="6">
        <v>1.4054813773717499E-4</v>
      </c>
      <c r="E1758" s="7">
        <v>9.8383696416022397E-3</v>
      </c>
    </row>
    <row r="1759" spans="1:5" x14ac:dyDescent="0.3">
      <c r="A1759" t="str">
        <f>HYPERLINK("https://anilist.co/staff/129217","Staff: Matt Shipman (Assistant ADR Director (English))")</f>
        <v>Staff: Matt Shipman (Assistant ADR Director (English))</v>
      </c>
      <c r="B1759" s="5">
        <v>70</v>
      </c>
      <c r="C1759" s="9">
        <v>1</v>
      </c>
      <c r="D1759" s="6">
        <v>1.4054813773717499E-4</v>
      </c>
      <c r="E1759" s="7">
        <v>9.8383696416022397E-3</v>
      </c>
    </row>
    <row r="1760" spans="1:5" x14ac:dyDescent="0.3">
      <c r="A1760" t="str">
        <f>HYPERLINK("https://anilist.co/staff/146760","Staff: Peter Hawkinson (Assistant ADR Engineer (English))")</f>
        <v>Staff: Peter Hawkinson (Assistant ADR Engineer (English))</v>
      </c>
      <c r="B1760" s="5">
        <v>70</v>
      </c>
      <c r="C1760" s="9">
        <v>1</v>
      </c>
      <c r="D1760" s="6">
        <v>1.4054813773717499E-4</v>
      </c>
      <c r="E1760" s="7">
        <v>9.8383696416022397E-3</v>
      </c>
    </row>
    <row r="1761" spans="1:5" x14ac:dyDescent="0.3">
      <c r="A1761" t="str">
        <f>HYPERLINK("https://anilist.co/staff/146761","Staff: Olivia Harris (Assistant ADR Engineer (English))")</f>
        <v>Staff: Olivia Harris (Assistant ADR Engineer (English))</v>
      </c>
      <c r="B1761" s="5">
        <v>70</v>
      </c>
      <c r="C1761" s="9">
        <v>1</v>
      </c>
      <c r="D1761" s="6">
        <v>1.4054813773717499E-4</v>
      </c>
      <c r="E1761" s="7">
        <v>9.8383696416022397E-3</v>
      </c>
    </row>
    <row r="1762" spans="1:5" x14ac:dyDescent="0.3">
      <c r="A1762" t="str">
        <f>HYPERLINK("https://anilist.co/staff/146767","Staff: Victor Acosta (Assistant ADR Engineer (English))")</f>
        <v>Staff: Victor Acosta (Assistant ADR Engineer (English))</v>
      </c>
      <c r="B1762" s="5">
        <v>70</v>
      </c>
      <c r="C1762" s="9">
        <v>1</v>
      </c>
      <c r="D1762" s="6">
        <v>1.4054813773717499E-4</v>
      </c>
      <c r="E1762" s="7">
        <v>9.8383696416022397E-3</v>
      </c>
    </row>
    <row r="1763" spans="1:5" x14ac:dyDescent="0.3">
      <c r="A1763" t="str">
        <f>HYPERLINK("https://anilist.co/staff/146768","Staff: Jamal Roberson (Lead ADR Engineer (English))")</f>
        <v>Staff: Jamal Roberson (Lead ADR Engineer (English))</v>
      </c>
      <c r="B1763" s="5">
        <v>70</v>
      </c>
      <c r="C1763" s="9">
        <v>1</v>
      </c>
      <c r="D1763" s="6">
        <v>1.4054813773717499E-4</v>
      </c>
      <c r="E1763" s="7">
        <v>9.8383696416022397E-3</v>
      </c>
    </row>
    <row r="1764" spans="1:5" x14ac:dyDescent="0.3">
      <c r="A1764" t="str">
        <f>HYPERLINK("https://anilist.co/staff/146770","Staff: Rickey Watkins (Assistant ADR Engineer (English))")</f>
        <v>Staff: Rickey Watkins (Assistant ADR Engineer (English))</v>
      </c>
      <c r="B1764" s="5">
        <v>70</v>
      </c>
      <c r="C1764" s="9">
        <v>1</v>
      </c>
      <c r="D1764" s="6">
        <v>1.4054813773717499E-4</v>
      </c>
      <c r="E1764" s="7">
        <v>9.8383696416022397E-3</v>
      </c>
    </row>
    <row r="1765" spans="1:5" x14ac:dyDescent="0.3">
      <c r="A1765" t="str">
        <f>HYPERLINK("https://anilist.co/staff/146771","Staff: Paul Cline (Assistant ADR Engineer (English))")</f>
        <v>Staff: Paul Cline (Assistant ADR Engineer (English))</v>
      </c>
      <c r="B1765" s="5">
        <v>70</v>
      </c>
      <c r="C1765" s="9">
        <v>1</v>
      </c>
      <c r="D1765" s="6">
        <v>1.4054813773717499E-4</v>
      </c>
      <c r="E1765" s="7">
        <v>9.8383696416022397E-3</v>
      </c>
    </row>
    <row r="1766" spans="1:5" x14ac:dyDescent="0.3">
      <c r="A1766" t="str">
        <f>HYPERLINK("https://anilist.co/staff/146773","Staff: Zachary Davis (Lead ADR Engineer (English))")</f>
        <v>Staff: Zachary Davis (Lead ADR Engineer (English))</v>
      </c>
      <c r="B1766" s="5">
        <v>70</v>
      </c>
      <c r="C1766" s="9">
        <v>1</v>
      </c>
      <c r="D1766" s="6">
        <v>1.4054813773717499E-4</v>
      </c>
      <c r="E1766" s="7">
        <v>9.8383696416022397E-3</v>
      </c>
    </row>
    <row r="1767" spans="1:5" x14ac:dyDescent="0.3">
      <c r="A1767" t="str">
        <f>HYPERLINK("https://anilist.co/staff/146774","Staff: William Dewell (Assistant ADR Engineer (English))")</f>
        <v>Staff: William Dewell (Assistant ADR Engineer (English))</v>
      </c>
      <c r="B1767" s="5">
        <v>70</v>
      </c>
      <c r="C1767" s="9">
        <v>1</v>
      </c>
      <c r="D1767" s="6">
        <v>1.4054813773717499E-4</v>
      </c>
      <c r="E1767" s="7">
        <v>9.8383696416022397E-3</v>
      </c>
    </row>
    <row r="1768" spans="1:5" x14ac:dyDescent="0.3">
      <c r="A1768" t="str">
        <f>HYPERLINK("https://anilist.co/staff/191624","Staff: Karasuya Sabou (Theme Song Composition (OP))")</f>
        <v>Staff: Karasuya Sabou (Theme Song Composition (OP))</v>
      </c>
      <c r="B1768" s="5">
        <v>70</v>
      </c>
      <c r="C1768" s="9">
        <v>1</v>
      </c>
      <c r="D1768" s="6">
        <v>1.4054813773717499E-4</v>
      </c>
      <c r="E1768" s="7">
        <v>9.8383696416022397E-3</v>
      </c>
    </row>
    <row r="1769" spans="1:5" x14ac:dyDescent="0.3">
      <c r="A1769" t="str">
        <f>HYPERLINK("https://anilist.co/staff/180455","Staff: Ayato Shinozaki (Theme Song Composition (OP))")</f>
        <v>Staff: Ayato Shinozaki (Theme Song Composition (OP))</v>
      </c>
      <c r="B1769" s="5">
        <v>70</v>
      </c>
      <c r="C1769" s="9">
        <v>1</v>
      </c>
      <c r="D1769" s="6">
        <v>1.4054813773717499E-4</v>
      </c>
      <c r="E1769" s="7">
        <v>9.8383696416022397E-3</v>
      </c>
    </row>
    <row r="1770" spans="1:5" x14ac:dyDescent="0.3">
      <c r="A1770" t="str">
        <f>HYPERLINK("https://anilist.co/staff/191624","Staff: Karasuya Sabou (Theme Song Lyrics (OP))")</f>
        <v>Staff: Karasuya Sabou (Theme Song Lyrics (OP))</v>
      </c>
      <c r="B1770" s="5">
        <v>70</v>
      </c>
      <c r="C1770" s="9">
        <v>1</v>
      </c>
      <c r="D1770" s="6">
        <v>1.4054813773717499E-4</v>
      </c>
      <c r="E1770" s="7">
        <v>9.8383696416022397E-3</v>
      </c>
    </row>
    <row r="1771" spans="1:5" x14ac:dyDescent="0.3">
      <c r="A1771" t="str">
        <f>HYPERLINK("https://anilist.co/staff/180455","Staff: Ayato Shinozaki (Theme Song Arrangement (OP))")</f>
        <v>Staff: Ayato Shinozaki (Theme Song Arrangement (OP))</v>
      </c>
      <c r="B1771" s="5">
        <v>70</v>
      </c>
      <c r="C1771" s="9">
        <v>1</v>
      </c>
      <c r="D1771" s="6">
        <v>1.4054813773717499E-4</v>
      </c>
      <c r="E1771" s="7">
        <v>9.8383696416022397E-3</v>
      </c>
    </row>
    <row r="1772" spans="1:5" x14ac:dyDescent="0.3">
      <c r="A1772" t="str">
        <f>HYPERLINK("https://anilist.co/staff/113057","Staff: Morgan Lauré (Assistant ADR Director (English))")</f>
        <v>Staff: Morgan Lauré (Assistant ADR Director (English))</v>
      </c>
      <c r="B1772" s="5">
        <v>70</v>
      </c>
      <c r="C1772" s="9">
        <v>1</v>
      </c>
      <c r="D1772" s="6">
        <v>1.4054813773717499E-4</v>
      </c>
      <c r="E1772" s="7">
        <v>9.8383696416022397E-3</v>
      </c>
    </row>
    <row r="1773" spans="1:5" x14ac:dyDescent="0.3">
      <c r="A1773" t="str">
        <f>HYPERLINK("https://anilist.co/staff/143224","Staff: Timo R. Schouren (Script (German))")</f>
        <v>Staff: Timo R. Schouren (Script (German))</v>
      </c>
      <c r="B1773" s="5">
        <v>70</v>
      </c>
      <c r="C1773" s="9">
        <v>1</v>
      </c>
      <c r="D1773" s="6">
        <v>1.4054813773717499E-4</v>
      </c>
      <c r="E1773" s="7">
        <v>9.8383696416022397E-3</v>
      </c>
    </row>
    <row r="1774" spans="1:5" x14ac:dyDescent="0.3">
      <c r="A1774" t="str">
        <f>HYPERLINK("https://anilist.co/staff/118412","Staff: Fujino Oomori (Original Story)")</f>
        <v>Staff: Fujino Oomori (Original Story)</v>
      </c>
      <c r="B1774" s="5">
        <v>70</v>
      </c>
      <c r="C1774" s="9">
        <v>1</v>
      </c>
      <c r="D1774" s="6">
        <v>1.4054813773717499E-4</v>
      </c>
      <c r="E1774" s="7">
        <v>9.8383696416022397E-3</v>
      </c>
    </row>
    <row r="1775" spans="1:5" x14ac:dyDescent="0.3">
      <c r="A1775" t="str">
        <f>HYPERLINK("https://anilist.co/staff/98249","Staff: Suzuhito Yasuda (Original Character Design)")</f>
        <v>Staff: Suzuhito Yasuda (Original Character Design)</v>
      </c>
      <c r="B1775" s="5">
        <v>70</v>
      </c>
      <c r="C1775" s="9">
        <v>1</v>
      </c>
      <c r="D1775" s="6">
        <v>1.4054813773717499E-4</v>
      </c>
      <c r="E1775" s="7">
        <v>9.8383696416022397E-3</v>
      </c>
    </row>
    <row r="1776" spans="1:5" x14ac:dyDescent="0.3">
      <c r="A1776" t="str">
        <f>HYPERLINK("https://anilist.co/staff/106066","Staff: Yoshinobu Yamakawa (Director)")</f>
        <v>Staff: Yoshinobu Yamakawa (Director)</v>
      </c>
      <c r="B1776" s="5">
        <v>70</v>
      </c>
      <c r="C1776" s="9">
        <v>1</v>
      </c>
      <c r="D1776" s="6">
        <v>1.4054813773717499E-4</v>
      </c>
      <c r="E1776" s="7">
        <v>9.8383696416022397E-3</v>
      </c>
    </row>
    <row r="1777" spans="1:5" x14ac:dyDescent="0.3">
      <c r="A1777" t="str">
        <f>HYPERLINK("https://anilist.co/staff/121250","Staff: Kazunori Iwakura (Animation Director (eps 2, 8, 10, 13))")</f>
        <v>Staff: Kazunori Iwakura (Animation Director (eps 2, 8, 10, 13))</v>
      </c>
      <c r="B1777" s="5">
        <v>70</v>
      </c>
      <c r="C1777" s="9">
        <v>1</v>
      </c>
      <c r="D1777" s="6">
        <v>1.4054813773717499E-4</v>
      </c>
      <c r="E1777" s="7">
        <v>9.8383696416022397E-3</v>
      </c>
    </row>
    <row r="1778" spans="1:5" x14ac:dyDescent="0.3">
      <c r="A1778" t="str">
        <f>HYPERLINK("https://anilist.co/staff/121250","Staff: Kazunori Iwakura (Key Animation (eps 8, 13))")</f>
        <v>Staff: Kazunori Iwakura (Key Animation (eps 8, 13))</v>
      </c>
      <c r="B1778" s="5">
        <v>70</v>
      </c>
      <c r="C1778" s="9">
        <v>1</v>
      </c>
      <c r="D1778" s="6">
        <v>1.4054813773717499E-4</v>
      </c>
      <c r="E1778" s="7">
        <v>9.8383696416022397E-3</v>
      </c>
    </row>
    <row r="1779" spans="1:5" x14ac:dyDescent="0.3">
      <c r="A1779" t="str">
        <f>HYPERLINK("https://anilist.co/staff/107257","Staff: Katsushi Sakurabi (Storyboard (ep 10))")</f>
        <v>Staff: Katsushi Sakurabi (Storyboard (ep 10))</v>
      </c>
      <c r="B1779" s="5">
        <v>70</v>
      </c>
      <c r="C1779" s="9">
        <v>1</v>
      </c>
      <c r="D1779" s="6">
        <v>1.4054813773717499E-4</v>
      </c>
      <c r="E1779" s="7">
        <v>9.8383696416022397E-3</v>
      </c>
    </row>
    <row r="1780" spans="1:5" x14ac:dyDescent="0.3">
      <c r="A1780" t="str">
        <f>HYPERLINK("https://anilist.co/staff/107257","Staff: Katsushi Sakurabi (Episode Director (OP, eps 3, 10, 13))")</f>
        <v>Staff: Katsushi Sakurabi (Episode Director (OP, eps 3, 10, 13))</v>
      </c>
      <c r="B1780" s="5">
        <v>70</v>
      </c>
      <c r="C1780" s="9">
        <v>1</v>
      </c>
      <c r="D1780" s="6">
        <v>1.4054813773717499E-4</v>
      </c>
      <c r="E1780" s="7">
        <v>9.8383696416022397E-3</v>
      </c>
    </row>
    <row r="1781" spans="1:5" x14ac:dyDescent="0.3">
      <c r="A1781" t="str">
        <f>HYPERLINK("https://anilist.co/staff/107257","Staff: Katsushi Sakurabi (Key Animation (ep 10))")</f>
        <v>Staff: Katsushi Sakurabi (Key Animation (ep 10))</v>
      </c>
      <c r="B1781" s="5">
        <v>70</v>
      </c>
      <c r="C1781" s="9">
        <v>1</v>
      </c>
      <c r="D1781" s="6">
        <v>1.4054813773717499E-4</v>
      </c>
      <c r="E1781" s="7">
        <v>9.8383696416022397E-3</v>
      </c>
    </row>
    <row r="1782" spans="1:5" x14ac:dyDescent="0.3">
      <c r="A1782" t="str">
        <f>HYPERLINK("https://anilist.co/staff/115885","Staff: Keiji Inai (Music)")</f>
        <v>Staff: Keiji Inai (Music)</v>
      </c>
      <c r="B1782" s="5">
        <v>70</v>
      </c>
      <c r="C1782" s="9">
        <v>1</v>
      </c>
      <c r="D1782" s="6">
        <v>1.4054813773717499E-4</v>
      </c>
      <c r="E1782" s="7">
        <v>9.8383696416022397E-3</v>
      </c>
    </row>
    <row r="1783" spans="1:5" x14ac:dyDescent="0.3">
      <c r="A1783" t="str">
        <f>HYPERLINK("https://anilist.co/staff/121294","Staff: Shigeki Kimoto (Character Design)")</f>
        <v>Staff: Shigeki Kimoto (Character Design)</v>
      </c>
      <c r="B1783" s="5">
        <v>70</v>
      </c>
      <c r="C1783" s="9">
        <v>1</v>
      </c>
      <c r="D1783" s="6">
        <v>1.4054813773717499E-4</v>
      </c>
      <c r="E1783" s="7">
        <v>9.8383696416022397E-3</v>
      </c>
    </row>
    <row r="1784" spans="1:5" x14ac:dyDescent="0.3">
      <c r="A1784" t="str">
        <f>HYPERLINK("https://anilist.co/staff/121294","Staff: Shigeki Kimoto (Chief Animation Director)")</f>
        <v>Staff: Shigeki Kimoto (Chief Animation Director)</v>
      </c>
      <c r="B1784" s="5">
        <v>70</v>
      </c>
      <c r="C1784" s="9">
        <v>1</v>
      </c>
      <c r="D1784" s="6">
        <v>1.4054813773717499E-4</v>
      </c>
      <c r="E1784" s="7">
        <v>9.8383696416022397E-3</v>
      </c>
    </row>
    <row r="1785" spans="1:5" x14ac:dyDescent="0.3">
      <c r="A1785" t="str">
        <f>HYPERLINK("https://anilist.co/staff/121294","Staff: Shigeki Kimoto (Animation Director (OP, ED, ep 1))")</f>
        <v>Staff: Shigeki Kimoto (Animation Director (OP, ED, ep 1))</v>
      </c>
      <c r="B1785" s="5">
        <v>70</v>
      </c>
      <c r="C1785" s="9">
        <v>1</v>
      </c>
      <c r="D1785" s="6">
        <v>1.4054813773717499E-4</v>
      </c>
      <c r="E1785" s="7">
        <v>9.8383696416022397E-3</v>
      </c>
    </row>
    <row r="1786" spans="1:5" x14ac:dyDescent="0.3">
      <c r="A1786" t="str">
        <f>HYPERLINK("https://anilist.co/staff/105226","Staff: Mika Takahashi (Key Animation (OP, ep 3-13))")</f>
        <v>Staff: Mika Takahashi (Key Animation (OP, ep 3-13))</v>
      </c>
      <c r="B1786" s="5">
        <v>70</v>
      </c>
      <c r="C1786" s="9">
        <v>1</v>
      </c>
      <c r="D1786" s="6">
        <v>1.4054813773717499E-4</v>
      </c>
      <c r="E1786" s="7">
        <v>9.8383696416022397E-3</v>
      </c>
    </row>
    <row r="1787" spans="1:5" x14ac:dyDescent="0.3">
      <c r="A1787" t="str">
        <f>HYPERLINK("https://anilist.co/staff/121210","Staff: Mariko Iguchi (Key Animation (eps 2, 6, 8))")</f>
        <v>Staff: Mariko Iguchi (Key Animation (eps 2, 6, 8))</v>
      </c>
      <c r="B1787" s="5">
        <v>70</v>
      </c>
      <c r="C1787" s="9">
        <v>1</v>
      </c>
      <c r="D1787" s="6">
        <v>1.4054813773717499E-4</v>
      </c>
      <c r="E1787" s="7">
        <v>9.8383696416022397E-3</v>
      </c>
    </row>
    <row r="1788" spans="1:5" x14ac:dyDescent="0.3">
      <c r="A1788" t="str">
        <f>HYPERLINK("https://anilist.co/staff/122168","Staff: Risako Yoshida (Episode Director (ep 6))")</f>
        <v>Staff: Risako Yoshida (Episode Director (ep 6))</v>
      </c>
      <c r="B1788" s="5">
        <v>70</v>
      </c>
      <c r="C1788" s="9">
        <v>1</v>
      </c>
      <c r="D1788" s="6">
        <v>1.4054813773717499E-4</v>
      </c>
      <c r="E1788" s="7">
        <v>9.8383696416022397E-3</v>
      </c>
    </row>
    <row r="1789" spans="1:5" x14ac:dyDescent="0.3">
      <c r="A1789" t="str">
        <f>HYPERLINK("https://anilist.co/staff/120006","Staff: Masato Anno (Animation Director (eps 6, 10, 13))")</f>
        <v>Staff: Masato Anno (Animation Director (eps 6, 10, 13))</v>
      </c>
      <c r="B1789" s="5">
        <v>70</v>
      </c>
      <c r="C1789" s="9">
        <v>1</v>
      </c>
      <c r="D1789" s="6">
        <v>1.4054813773717499E-4</v>
      </c>
      <c r="E1789" s="7">
        <v>9.8383696416022397E-3</v>
      </c>
    </row>
    <row r="1790" spans="1:5" x14ac:dyDescent="0.3">
      <c r="A1790" t="str">
        <f>HYPERLINK("https://anilist.co/staff/120006","Staff: Masato Anno (Assistant Animation Director (eps 8, 12))")</f>
        <v>Staff: Masato Anno (Assistant Animation Director (eps 8, 12))</v>
      </c>
      <c r="B1790" s="5">
        <v>70</v>
      </c>
      <c r="C1790" s="9">
        <v>1</v>
      </c>
      <c r="D1790" s="6">
        <v>1.4054813773717499E-4</v>
      </c>
      <c r="E1790" s="7">
        <v>9.8383696416022397E-3</v>
      </c>
    </row>
    <row r="1791" spans="1:5" x14ac:dyDescent="0.3">
      <c r="A1791" t="str">
        <f>HYPERLINK("https://anilist.co/staff/120006","Staff: Masato Anno (Key Animation (eps 1, 2, 4, 6))")</f>
        <v>Staff: Masato Anno (Key Animation (eps 1, 2, 4, 6))</v>
      </c>
      <c r="B1791" s="5">
        <v>70</v>
      </c>
      <c r="C1791" s="9">
        <v>1</v>
      </c>
      <c r="D1791" s="6">
        <v>1.4054813773717499E-4</v>
      </c>
      <c r="E1791" s="7">
        <v>9.8383696416022397E-3</v>
      </c>
    </row>
    <row r="1792" spans="1:5" x14ac:dyDescent="0.3">
      <c r="A1792" t="str">
        <f>HYPERLINK("https://anilist.co/staff/123423","Staff: Shouko Yasuda (Animation Director (eps 7, 11))")</f>
        <v>Staff: Shouko Yasuda (Animation Director (eps 7, 11))</v>
      </c>
      <c r="B1792" s="5">
        <v>70</v>
      </c>
      <c r="C1792" s="9">
        <v>1</v>
      </c>
      <c r="D1792" s="6">
        <v>1.4054813773717499E-4</v>
      </c>
      <c r="E1792" s="7">
        <v>9.8383696416022397E-3</v>
      </c>
    </row>
    <row r="1793" spans="1:5" x14ac:dyDescent="0.3">
      <c r="A1793" t="str">
        <f>HYPERLINK("https://anilist.co/staff/123993","Staff: Hiroshi Yakou (Key Animation (eps 1, 4, 6))")</f>
        <v>Staff: Hiroshi Yakou (Key Animation (eps 1, 4, 6))</v>
      </c>
      <c r="B1793" s="5">
        <v>70</v>
      </c>
      <c r="C1793" s="9">
        <v>1</v>
      </c>
      <c r="D1793" s="6">
        <v>1.4054813773717499E-4</v>
      </c>
      <c r="E1793" s="7">
        <v>9.8383696416022397E-3</v>
      </c>
    </row>
    <row r="1794" spans="1:5" x14ac:dyDescent="0.3">
      <c r="A1794" t="str">
        <f>HYPERLINK("https://anilist.co/staff/124174","Staff: Ayumu Hisao (Script (eps 4, 5, 7, 11))")</f>
        <v>Staff: Ayumu Hisao (Script (eps 4, 5, 7, 11))</v>
      </c>
      <c r="B1794" s="5">
        <v>70</v>
      </c>
      <c r="C1794" s="9">
        <v>1</v>
      </c>
      <c r="D1794" s="6">
        <v>1.4054813773717499E-4</v>
      </c>
      <c r="E1794" s="7">
        <v>9.8383696416022397E-3</v>
      </c>
    </row>
    <row r="1795" spans="1:5" x14ac:dyDescent="0.3">
      <c r="A1795" t="str">
        <f>HYPERLINK("https://anilist.co/staff/125182","Staff: Miki Matsumoto (2nd Key Animation (eps 5-12))")</f>
        <v>Staff: Miki Matsumoto (2nd Key Animation (eps 5-12))</v>
      </c>
      <c r="B1795" s="5">
        <v>70</v>
      </c>
      <c r="C1795" s="9">
        <v>1</v>
      </c>
      <c r="D1795" s="6">
        <v>1.4054813773717499E-4</v>
      </c>
      <c r="E1795" s="7">
        <v>9.8383696416022397E-3</v>
      </c>
    </row>
    <row r="1796" spans="1:5" x14ac:dyDescent="0.3">
      <c r="A1796" t="str">
        <f>HYPERLINK("https://anilist.co/staff/132887","Staff: Noriko Dohi (Opening Theme Producer)")</f>
        <v>Staff: Noriko Dohi (Opening Theme Producer)</v>
      </c>
      <c r="B1796" s="5">
        <v>70</v>
      </c>
      <c r="C1796" s="9">
        <v>1</v>
      </c>
      <c r="D1796" s="6">
        <v>1.4054813773717499E-4</v>
      </c>
      <c r="E1796" s="7">
        <v>9.8383696416022397E-3</v>
      </c>
    </row>
    <row r="1797" spans="1:5" x14ac:dyDescent="0.3">
      <c r="A1797" t="str">
        <f>HYPERLINK("https://anilist.co/staff/143462","Staff: Kenichirou Aoki (2nd Key Animation (eps 5-12))")</f>
        <v>Staff: Kenichirou Aoki (2nd Key Animation (eps 5-12))</v>
      </c>
      <c r="B1797" s="5">
        <v>70</v>
      </c>
      <c r="C1797" s="9">
        <v>1</v>
      </c>
      <c r="D1797" s="6">
        <v>1.4054813773717499E-4</v>
      </c>
      <c r="E1797" s="7">
        <v>9.8383696416022397E-3</v>
      </c>
    </row>
    <row r="1798" spans="1:5" x14ac:dyDescent="0.3">
      <c r="A1798" t="str">
        <f>HYPERLINK("https://anilist.co/staff/119614","Staff: Ukami  (Original Creator)")</f>
        <v>Staff: Ukami  (Original Creator)</v>
      </c>
      <c r="B1798" s="5">
        <v>70</v>
      </c>
      <c r="C1798" s="9">
        <v>1</v>
      </c>
      <c r="D1798" s="6">
        <v>1.4054813773717499E-4</v>
      </c>
      <c r="E1798" s="7">
        <v>9.8383696416022397E-3</v>
      </c>
    </row>
    <row r="1799" spans="1:5" x14ac:dyDescent="0.3">
      <c r="A1799" t="str">
        <f>HYPERLINK("https://anilist.co/staff/120936","Staff: Katsuhiro Kumagai (Chief Animation Director (ED2, eps 1, 3, 6, 8, 10, 12))")</f>
        <v>Staff: Katsuhiro Kumagai (Chief Animation Director (ED2, eps 1, 3, 6, 8, 10, 12))</v>
      </c>
      <c r="B1799" s="5">
        <v>70</v>
      </c>
      <c r="C1799" s="9">
        <v>1</v>
      </c>
      <c r="D1799" s="6">
        <v>1.4054813773717499E-4</v>
      </c>
      <c r="E1799" s="7">
        <v>9.8383696416022397E-3</v>
      </c>
    </row>
    <row r="1800" spans="1:5" x14ac:dyDescent="0.3">
      <c r="A1800" t="str">
        <f>HYPERLINK("https://anilist.co/staff/95185","Staff: Kana Hanazawa (Theme Song Performance (OP &amp; ED))")</f>
        <v>Staff: Kana Hanazawa (Theme Song Performance (OP &amp; ED))</v>
      </c>
      <c r="B1800" s="5">
        <v>70</v>
      </c>
      <c r="C1800" s="9">
        <v>1</v>
      </c>
      <c r="D1800" s="6">
        <v>1.4054813773717499E-4</v>
      </c>
      <c r="E1800" s="7">
        <v>9.8383696416022397E-3</v>
      </c>
    </row>
    <row r="1801" spans="1:5" x14ac:dyDescent="0.3">
      <c r="A1801" t="str">
        <f>HYPERLINK("https://anilist.co/staff/119518","Staff: Miyu Tomita (Theme Song Performance (OP &amp; ED))")</f>
        <v>Staff: Miyu Tomita (Theme Song Performance (OP &amp; ED))</v>
      </c>
      <c r="B1801" s="5">
        <v>70</v>
      </c>
      <c r="C1801" s="9">
        <v>1</v>
      </c>
      <c r="D1801" s="6">
        <v>1.4054813773717499E-4</v>
      </c>
      <c r="E1801" s="7">
        <v>9.8383696416022397E-3</v>
      </c>
    </row>
    <row r="1802" spans="1:5" x14ac:dyDescent="0.3">
      <c r="A1802" t="str">
        <f>HYPERLINK("https://anilist.co/staff/117329","Staff: Naomi Oozora (Theme Song Performance (OP &amp; ED))")</f>
        <v>Staff: Naomi Oozora (Theme Song Performance (OP &amp; ED))</v>
      </c>
      <c r="B1802" s="5">
        <v>70</v>
      </c>
      <c r="C1802" s="9">
        <v>1</v>
      </c>
      <c r="D1802" s="6">
        <v>1.4054813773717499E-4</v>
      </c>
      <c r="E1802" s="7">
        <v>9.8383696416022397E-3</v>
      </c>
    </row>
    <row r="1803" spans="1:5" x14ac:dyDescent="0.3">
      <c r="A1803" t="str">
        <f>HYPERLINK("https://anilist.co/staff/114884","Staff: Saori Oonishi (Theme Song Performance (OP &amp; ED))")</f>
        <v>Staff: Saori Oonishi (Theme Song Performance (OP &amp; ED))</v>
      </c>
      <c r="B1803" s="5">
        <v>70</v>
      </c>
      <c r="C1803" s="9">
        <v>1</v>
      </c>
      <c r="D1803" s="6">
        <v>1.4054813773717499E-4</v>
      </c>
      <c r="E1803" s="7">
        <v>9.8383696416022397E-3</v>
      </c>
    </row>
    <row r="1804" spans="1:5" x14ac:dyDescent="0.3">
      <c r="A1804" t="str">
        <f>HYPERLINK("https://anilist.co/staff/120874","Staff: Kenji Sugihara (Script (eps 3, 7, 10))")</f>
        <v>Staff: Kenji Sugihara (Script (eps 3, 7, 10))</v>
      </c>
      <c r="B1804" s="5">
        <v>70</v>
      </c>
      <c r="C1804" s="9">
        <v>1</v>
      </c>
      <c r="D1804" s="6">
        <v>1.4054813773717499E-4</v>
      </c>
      <c r="E1804" s="7">
        <v>9.8383696416022397E-3</v>
      </c>
    </row>
    <row r="1805" spans="1:5" x14ac:dyDescent="0.3">
      <c r="A1805" t="str">
        <f>HYPERLINK("https://anilist.co/staff/103837","Staff: Takashi Aoshima (Script (eps 1, 5, 12))")</f>
        <v>Staff: Takashi Aoshima (Script (eps 1, 5, 12))</v>
      </c>
      <c r="B1805" s="5">
        <v>70</v>
      </c>
      <c r="C1805" s="9">
        <v>1</v>
      </c>
      <c r="D1805" s="6">
        <v>1.4054813773717499E-4</v>
      </c>
      <c r="E1805" s="7">
        <v>9.8383696416022397E-3</v>
      </c>
    </row>
    <row r="1806" spans="1:5" x14ac:dyDescent="0.3">
      <c r="A1806" t="str">
        <f>HYPERLINK("https://anilist.co/staff/103836","Staff: Hideaki Koyasu (Script (eps 2, 6, 9))")</f>
        <v>Staff: Hideaki Koyasu (Script (eps 2, 6, 9))</v>
      </c>
      <c r="B1806" s="5">
        <v>70</v>
      </c>
      <c r="C1806" s="9">
        <v>1</v>
      </c>
      <c r="D1806" s="6">
        <v>1.4054813773717499E-4</v>
      </c>
      <c r="E1806" s="7">
        <v>9.8383696416022397E-3</v>
      </c>
    </row>
    <row r="1807" spans="1:5" x14ac:dyDescent="0.3">
      <c r="A1807" t="str">
        <f>HYPERLINK("https://anilist.co/staff/124291","Staff: Naoko Kuwabara (Chief Animation Director (eps 2, 4, 5, 7, 9, 11) )")</f>
        <v>Staff: Naoko Kuwabara (Chief Animation Director (eps 2, 4, 5, 7, 9, 11) )</v>
      </c>
      <c r="B1807" s="5">
        <v>70</v>
      </c>
      <c r="C1807" s="9">
        <v>1</v>
      </c>
      <c r="D1807" s="6">
        <v>1.4054813773717499E-4</v>
      </c>
      <c r="E1807" s="7">
        <v>9.8383696416022397E-3</v>
      </c>
    </row>
    <row r="1808" spans="1:5" x14ac:dyDescent="0.3">
      <c r="A1808" t="str">
        <f>HYPERLINK("https://anilist.co/staff/124291","Staff: Naoko Kuwabara (Animation Director (OP, ED, ep 12))")</f>
        <v>Staff: Naoko Kuwabara (Animation Director (OP, ED, ep 12))</v>
      </c>
      <c r="B1808" s="5">
        <v>70</v>
      </c>
      <c r="C1808" s="9">
        <v>1</v>
      </c>
      <c r="D1808" s="6">
        <v>1.4054813773717499E-4</v>
      </c>
      <c r="E1808" s="7">
        <v>9.8383696416022397E-3</v>
      </c>
    </row>
    <row r="1809" spans="1:5" x14ac:dyDescent="0.3">
      <c r="A1809" t="str">
        <f>HYPERLINK("https://anilist.co/staff/124291","Staff: Naoko Kuwabara (Key Animation (eps 1, 2))")</f>
        <v>Staff: Naoko Kuwabara (Key Animation (eps 1, 2))</v>
      </c>
      <c r="B1809" s="5">
        <v>70</v>
      </c>
      <c r="C1809" s="9">
        <v>1</v>
      </c>
      <c r="D1809" s="6">
        <v>1.4054813773717499E-4</v>
      </c>
      <c r="E1809" s="7">
        <v>9.8383696416022397E-3</v>
      </c>
    </row>
    <row r="1810" spans="1:5" x14ac:dyDescent="0.3">
      <c r="A1810" t="str">
        <f>HYPERLINK("https://anilist.co/staff/124291","Staff: Naoko Kuwabara (Sub-Character Design)")</f>
        <v>Staff: Naoko Kuwabara (Sub-Character Design)</v>
      </c>
      <c r="B1810" s="5">
        <v>70</v>
      </c>
      <c r="C1810" s="9">
        <v>1</v>
      </c>
      <c r="D1810" s="6">
        <v>1.4054813773717499E-4</v>
      </c>
      <c r="E1810" s="7">
        <v>9.8383696416022397E-3</v>
      </c>
    </row>
    <row r="1811" spans="1:5" x14ac:dyDescent="0.3">
      <c r="A1811" t="str">
        <f>HYPERLINK("https://anilist.co/staff/130540","Staff: Nobuyuki Mitani (Key Animation (OP, eps 1, 5, 7, 8, 12))")</f>
        <v>Staff: Nobuyuki Mitani (Key Animation (OP, eps 1, 5, 7, 8, 12))</v>
      </c>
      <c r="B1811" s="5">
        <v>70</v>
      </c>
      <c r="C1811" s="9">
        <v>1</v>
      </c>
      <c r="D1811" s="6">
        <v>1.4054813773717499E-4</v>
      </c>
      <c r="E1811" s="7">
        <v>9.8383696416022397E-3</v>
      </c>
    </row>
    <row r="1812" spans="1:5" x14ac:dyDescent="0.3">
      <c r="A1812" t="str">
        <f>HYPERLINK("https://anilist.co/staff/102404","Staff: Yasuhiro Misawa (Theme Song Composition (ED2))")</f>
        <v>Staff: Yasuhiro Misawa (Theme Song Composition (ED2))</v>
      </c>
      <c r="B1812" s="5">
        <v>70</v>
      </c>
      <c r="C1812" s="9">
        <v>1</v>
      </c>
      <c r="D1812" s="6">
        <v>1.4054813773717499E-4</v>
      </c>
      <c r="E1812" s="7">
        <v>9.8383696416022397E-3</v>
      </c>
    </row>
    <row r="1813" spans="1:5" x14ac:dyDescent="0.3">
      <c r="A1813" t="str">
        <f>HYPERLINK("https://anilist.co/staff/114884","Staff: Saori Oonishi (Theme Song Performance (ED2))")</f>
        <v>Staff: Saori Oonishi (Theme Song Performance (ED2))</v>
      </c>
      <c r="B1813" s="5">
        <v>70</v>
      </c>
      <c r="C1813" s="9">
        <v>1</v>
      </c>
      <c r="D1813" s="6">
        <v>1.4054813773717499E-4</v>
      </c>
      <c r="E1813" s="7">
        <v>9.8383696416022397E-3</v>
      </c>
    </row>
    <row r="1814" spans="1:5" x14ac:dyDescent="0.3">
      <c r="A1814" t="str">
        <f>HYPERLINK("https://anilist.co/staff/145373","Staff: Yannik Raiss (Script (German))")</f>
        <v>Staff: Yannik Raiss (Script (German))</v>
      </c>
      <c r="B1814" s="5">
        <v>70</v>
      </c>
      <c r="C1814" s="9">
        <v>1</v>
      </c>
      <c r="D1814" s="6">
        <v>1.4054813773717499E-4</v>
      </c>
      <c r="E1814" s="7">
        <v>9.8383696416022397E-3</v>
      </c>
    </row>
    <row r="1815" spans="1:5" x14ac:dyDescent="0.3">
      <c r="A1815" t="str">
        <f>HYPERLINK("https://anilist.co/staff/101527","Staff: Miwa Ooshima (Character Design)")</f>
        <v>Staff: Miwa Ooshima (Character Design)</v>
      </c>
      <c r="B1815" s="5">
        <v>70</v>
      </c>
      <c r="C1815" s="9">
        <v>1</v>
      </c>
      <c r="D1815" s="6">
        <v>1.4054813773717499E-4</v>
      </c>
      <c r="E1815" s="7">
        <v>9.8383696416022397E-3</v>
      </c>
    </row>
    <row r="1816" spans="1:5" x14ac:dyDescent="0.3">
      <c r="A1816" t="str">
        <f>HYPERLINK("https://anilist.co/staff/120064","Staff: Mariko Itou (Animation Director (ep 7))")</f>
        <v>Staff: Mariko Itou (Animation Director (ep 7))</v>
      </c>
      <c r="B1816" s="5">
        <v>70</v>
      </c>
      <c r="C1816" s="9">
        <v>1</v>
      </c>
      <c r="D1816" s="6">
        <v>1.4054813773717499E-4</v>
      </c>
      <c r="E1816" s="7">
        <v>9.8383696416022397E-3</v>
      </c>
    </row>
    <row r="1817" spans="1:5" x14ac:dyDescent="0.3">
      <c r="A1817" t="str">
        <f>HYPERLINK("https://anilist.co/staff/121372","Staff: Miyako Yatsu (Animation Director (eps 2, 6))")</f>
        <v>Staff: Miyako Yatsu (Animation Director (eps 2, 6))</v>
      </c>
      <c r="B1817" s="5">
        <v>70</v>
      </c>
      <c r="C1817" s="9">
        <v>1</v>
      </c>
      <c r="D1817" s="6">
        <v>1.4054813773717499E-4</v>
      </c>
      <c r="E1817" s="7">
        <v>9.8383696416022397E-3</v>
      </c>
    </row>
    <row r="1818" spans="1:5" x14ac:dyDescent="0.3">
      <c r="A1818" t="str">
        <f>HYPERLINK("https://anilist.co/staff/108421","Staff: Midori Endou (Original Creator)")</f>
        <v>Staff: Midori Endou (Original Creator)</v>
      </c>
      <c r="B1818" s="5">
        <v>70</v>
      </c>
      <c r="C1818" s="9">
        <v>1</v>
      </c>
      <c r="D1818" s="6">
        <v>1.4054813773717499E-4</v>
      </c>
      <c r="E1818" s="7">
        <v>9.8383696416022397E-3</v>
      </c>
    </row>
    <row r="1819" spans="1:5" x14ac:dyDescent="0.3">
      <c r="A1819" t="str">
        <f>HYPERLINK("https://anilist.co/staff/105862","Staff: Kenichi Maeyamada (Theme Song Arrangement (OP))")</f>
        <v>Staff: Kenichi Maeyamada (Theme Song Arrangement (OP))</v>
      </c>
      <c r="B1819" s="5">
        <v>70</v>
      </c>
      <c r="C1819" s="9">
        <v>1</v>
      </c>
      <c r="D1819" s="6">
        <v>1.4054813773717499E-4</v>
      </c>
      <c r="E1819" s="7">
        <v>9.8383696416022397E-3</v>
      </c>
    </row>
    <row r="1820" spans="1:5" x14ac:dyDescent="0.3">
      <c r="A1820" t="str">
        <f>HYPERLINK("https://anilist.co/staff/105862","Staff: Kenichi Maeyamada (Theme Song Composition (OP))")</f>
        <v>Staff: Kenichi Maeyamada (Theme Song Composition (OP))</v>
      </c>
      <c r="B1820" s="5">
        <v>70</v>
      </c>
      <c r="C1820" s="9">
        <v>1</v>
      </c>
      <c r="D1820" s="6">
        <v>1.4054813773717499E-4</v>
      </c>
      <c r="E1820" s="7">
        <v>9.8383696416022397E-3</v>
      </c>
    </row>
    <row r="1821" spans="1:5" x14ac:dyDescent="0.3">
      <c r="A1821" t="str">
        <f>HYPERLINK("https://anilist.co/staff/105862","Staff: Kenichi Maeyamada (Theme Song Lyrics (OP))")</f>
        <v>Staff: Kenichi Maeyamada (Theme Song Lyrics (OP))</v>
      </c>
      <c r="B1821" s="5">
        <v>70</v>
      </c>
      <c r="C1821" s="9">
        <v>1</v>
      </c>
      <c r="D1821" s="6">
        <v>1.4054813773717499E-4</v>
      </c>
      <c r="E1821" s="7">
        <v>9.8383696416022397E-3</v>
      </c>
    </row>
    <row r="1822" spans="1:5" x14ac:dyDescent="0.3">
      <c r="A1822" t="str">
        <f>HYPERLINK("https://anilist.co/staff/101507","Staff: Atsushi Suemitsu (Theme Song Performance (ED))")</f>
        <v>Staff: Atsushi Suemitsu (Theme Song Performance (ED))</v>
      </c>
      <c r="B1822" s="5">
        <v>70</v>
      </c>
      <c r="C1822" s="9">
        <v>1</v>
      </c>
      <c r="D1822" s="6">
        <v>1.4054813773717499E-4</v>
      </c>
      <c r="E1822" s="7">
        <v>9.8383696416022397E-3</v>
      </c>
    </row>
    <row r="1823" spans="1:5" x14ac:dyDescent="0.3">
      <c r="A1823" t="str">
        <f>HYPERLINK("https://anilist.co/staff/101507","Staff: Atsushi Suemitsu (Theme Song Arrangement (ED))")</f>
        <v>Staff: Atsushi Suemitsu (Theme Song Arrangement (ED))</v>
      </c>
      <c r="B1823" s="5">
        <v>70</v>
      </c>
      <c r="C1823" s="9">
        <v>1</v>
      </c>
      <c r="D1823" s="6">
        <v>1.4054813773717499E-4</v>
      </c>
      <c r="E1823" s="7">
        <v>9.8383696416022397E-3</v>
      </c>
    </row>
    <row r="1824" spans="1:5" x14ac:dyDescent="0.3">
      <c r="A1824" t="str">
        <f>HYPERLINK("https://anilist.co/staff/101507","Staff: Atsushi Suemitsu (Theme Song Lyrics (ED))")</f>
        <v>Staff: Atsushi Suemitsu (Theme Song Lyrics (ED))</v>
      </c>
      <c r="B1824" s="5">
        <v>70</v>
      </c>
      <c r="C1824" s="9">
        <v>1</v>
      </c>
      <c r="D1824" s="6">
        <v>1.4054813773717499E-4</v>
      </c>
      <c r="E1824" s="7">
        <v>9.8383696416022397E-3</v>
      </c>
    </row>
    <row r="1825" spans="1:5" x14ac:dyDescent="0.3">
      <c r="A1825" t="str">
        <f>HYPERLINK("https://anilist.co/staff/101507","Staff: Atsushi Suemitsu (Theme Song Composition (ED))")</f>
        <v>Staff: Atsushi Suemitsu (Theme Song Composition (ED))</v>
      </c>
      <c r="B1825" s="5">
        <v>70</v>
      </c>
      <c r="C1825" s="9">
        <v>1</v>
      </c>
      <c r="D1825" s="6">
        <v>1.4054813773717499E-4</v>
      </c>
      <c r="E1825" s="7">
        <v>9.8383696416022397E-3</v>
      </c>
    </row>
    <row r="1826" spans="1:5" x14ac:dyDescent="0.3">
      <c r="A1826" t="str">
        <f>HYPERLINK("https://anilist.co/staff/95079","Staff: Takahiro Sakurai (Theme Song Performance (OP))")</f>
        <v>Staff: Takahiro Sakurai (Theme Song Performance (OP))</v>
      </c>
      <c r="B1826" s="5">
        <v>70</v>
      </c>
      <c r="C1826" s="9">
        <v>1</v>
      </c>
      <c r="D1826" s="6">
        <v>1.4054813773717499E-4</v>
      </c>
      <c r="E1826" s="7">
        <v>9.8383696416022397E-3</v>
      </c>
    </row>
    <row r="1827" spans="1:5" x14ac:dyDescent="0.3">
      <c r="A1827" t="str">
        <f>HYPERLINK("https://anilist.co/staff/95091","Staff: Jouji Nakata (Theme Song Performance (OP))")</f>
        <v>Staff: Jouji Nakata (Theme Song Performance (OP))</v>
      </c>
      <c r="B1827" s="5">
        <v>70</v>
      </c>
      <c r="C1827" s="9">
        <v>1</v>
      </c>
      <c r="D1827" s="6">
        <v>1.4054813773717499E-4</v>
      </c>
      <c r="E1827" s="7">
        <v>9.8383696416022397E-3</v>
      </c>
    </row>
    <row r="1828" spans="1:5" x14ac:dyDescent="0.3">
      <c r="A1828" t="str">
        <f>HYPERLINK("https://anilist.co/staff/134465","Staff: Yasuyuki Kosaka (Original Creator)")</f>
        <v>Staff: Yasuyuki Kosaka (Original Creator)</v>
      </c>
      <c r="B1828" s="5">
        <v>70</v>
      </c>
      <c r="C1828" s="9">
        <v>1</v>
      </c>
      <c r="D1828" s="6">
        <v>1.4054813773717499E-4</v>
      </c>
      <c r="E1828" s="7">
        <v>9.8383696416022397E-3</v>
      </c>
    </row>
    <row r="1829" spans="1:5" x14ac:dyDescent="0.3">
      <c r="A1829" t="str">
        <f>HYPERLINK("https://anilist.co/staff/114083","Staff: Takaharu Ookuma (Director)")</f>
        <v>Staff: Takaharu Ookuma (Director)</v>
      </c>
      <c r="B1829" s="5">
        <v>70</v>
      </c>
      <c r="C1829" s="9">
        <v>1</v>
      </c>
      <c r="D1829" s="6">
        <v>1.4054813773717499E-4</v>
      </c>
      <c r="E1829" s="7">
        <v>9.8383696416022397E-3</v>
      </c>
    </row>
    <row r="1830" spans="1:5" x14ac:dyDescent="0.3">
      <c r="A1830" t="str">
        <f>HYPERLINK("https://anilist.co/staff/137337","Staff: Hiroyuki Ogura (Fishing Gear Prop Design)")</f>
        <v>Staff: Hiroyuki Ogura (Fishing Gear Prop Design)</v>
      </c>
      <c r="B1830" s="5">
        <v>70</v>
      </c>
      <c r="C1830" s="9">
        <v>1</v>
      </c>
      <c r="D1830" s="6">
        <v>1.4054813773717499E-4</v>
      </c>
      <c r="E1830" s="7">
        <v>9.8383696416022397E-3</v>
      </c>
    </row>
    <row r="1831" spans="1:5" x14ac:dyDescent="0.3">
      <c r="A1831" t="str">
        <f>HYPERLINK("https://anilist.co/staff/120936","Staff: Katsuhiro Kumagai (Chief Animation Director)")</f>
        <v>Staff: Katsuhiro Kumagai (Chief Animation Director)</v>
      </c>
      <c r="B1831" s="5">
        <v>70</v>
      </c>
      <c r="C1831" s="9">
        <v>1</v>
      </c>
      <c r="D1831" s="6">
        <v>1.4054813773717499E-4</v>
      </c>
      <c r="E1831" s="7">
        <v>9.8383696416022397E-3</v>
      </c>
    </row>
    <row r="1832" spans="1:5" x14ac:dyDescent="0.3">
      <c r="A1832" t="str">
        <f>HYPERLINK("https://anilist.co/staff/128882","Staff: Kyouko Nagata (Prop Design)")</f>
        <v>Staff: Kyouko Nagata (Prop Design)</v>
      </c>
      <c r="B1832" s="5">
        <v>70</v>
      </c>
      <c r="C1832" s="9">
        <v>1</v>
      </c>
      <c r="D1832" s="6">
        <v>1.4054813773717499E-4</v>
      </c>
      <c r="E1832" s="7">
        <v>9.8383696416022397E-3</v>
      </c>
    </row>
    <row r="1833" spans="1:5" x14ac:dyDescent="0.3">
      <c r="A1833" t="str">
        <f>HYPERLINK("https://anilist.co/staff/152589","Staff: Atsushi Soga (Chief Animation Director)")</f>
        <v>Staff: Atsushi Soga (Chief Animation Director)</v>
      </c>
      <c r="B1833" s="5">
        <v>70</v>
      </c>
      <c r="C1833" s="9">
        <v>1</v>
      </c>
      <c r="D1833" s="6">
        <v>1.4054813773717499E-4</v>
      </c>
      <c r="E1833" s="7">
        <v>9.8383696416022397E-3</v>
      </c>
    </row>
    <row r="1834" spans="1:5" x14ac:dyDescent="0.3">
      <c r="A1834" t="str">
        <f>HYPERLINK("https://anilist.co/staff/132966","Staff: Keiko Ichihara (Chief Animation Director)")</f>
        <v>Staff: Keiko Ichihara (Chief Animation Director)</v>
      </c>
      <c r="B1834" s="5">
        <v>70</v>
      </c>
      <c r="C1834" s="9">
        <v>1</v>
      </c>
      <c r="D1834" s="6">
        <v>1.4054813773717499E-4</v>
      </c>
      <c r="E1834" s="7">
        <v>9.8383696416022397E-3</v>
      </c>
    </row>
    <row r="1835" spans="1:5" x14ac:dyDescent="0.3">
      <c r="A1835" t="str">
        <f>HYPERLINK("https://anilist.co/staff/146264","Staff: Emi Onodera (Editing)")</f>
        <v>Staff: Emi Onodera (Editing)</v>
      </c>
      <c r="B1835" s="5">
        <v>70</v>
      </c>
      <c r="C1835" s="9">
        <v>1</v>
      </c>
      <c r="D1835" s="6">
        <v>1.4054813773717499E-4</v>
      </c>
      <c r="E1835" s="7">
        <v>9.8383696416022397E-3</v>
      </c>
    </row>
    <row r="1836" spans="1:5" x14ac:dyDescent="0.3">
      <c r="A1836" t="str">
        <f>HYPERLINK("https://anilist.co/staff/119687","Staff: Junichi Higashi (Art Design)")</f>
        <v>Staff: Junichi Higashi (Art Design)</v>
      </c>
      <c r="B1836" s="5">
        <v>70</v>
      </c>
      <c r="C1836" s="9">
        <v>1</v>
      </c>
      <c r="D1836" s="6">
        <v>1.4054813773717499E-4</v>
      </c>
      <c r="E1836" s="7">
        <v>9.8383696416022397E-3</v>
      </c>
    </row>
    <row r="1837" spans="1:5" x14ac:dyDescent="0.3">
      <c r="A1837" t="str">
        <f>HYPERLINK("https://anilist.co/staff/146759","Staff: Genta Makabe (Color Design)")</f>
        <v>Staff: Genta Makabe (Color Design)</v>
      </c>
      <c r="B1837" s="5">
        <v>70</v>
      </c>
      <c r="C1837" s="9">
        <v>1</v>
      </c>
      <c r="D1837" s="6">
        <v>1.4054813773717499E-4</v>
      </c>
      <c r="E1837" s="7">
        <v>9.8383696416022397E-3</v>
      </c>
    </row>
    <row r="1838" spans="1:5" x14ac:dyDescent="0.3">
      <c r="A1838" t="str">
        <f>HYPERLINK("https://anilist.co/staff/146522","Staff: Miki Sakurai (Music)")</f>
        <v>Staff: Miki Sakurai (Music)</v>
      </c>
      <c r="B1838" s="5">
        <v>70</v>
      </c>
      <c r="C1838" s="9">
        <v>1</v>
      </c>
      <c r="D1838" s="6">
        <v>1.4054813773717499E-4</v>
      </c>
      <c r="E1838" s="7">
        <v>9.8383696416022397E-3</v>
      </c>
    </row>
    <row r="1839" spans="1:5" x14ac:dyDescent="0.3">
      <c r="A1839" t="str">
        <f>HYPERLINK("https://anilist.co/staff/162512","Staff: Yuuta Sakashita (Art Director)")</f>
        <v>Staff: Yuuta Sakashita (Art Director)</v>
      </c>
      <c r="B1839" s="5">
        <v>70</v>
      </c>
      <c r="C1839" s="9">
        <v>1</v>
      </c>
      <c r="D1839" s="6">
        <v>1.4054813773717499E-4</v>
      </c>
      <c r="E1839" s="7">
        <v>9.8383696416022397E-3</v>
      </c>
    </row>
    <row r="1840" spans="1:5" x14ac:dyDescent="0.3">
      <c r="A1840" t="str">
        <f>HYPERLINK("https://anilist.co/staff/206621","Staff: Austin Sisk (ADR Prep (English))")</f>
        <v>Staff: Austin Sisk (ADR Prep (English))</v>
      </c>
      <c r="B1840" s="5">
        <v>70</v>
      </c>
      <c r="C1840" s="9">
        <v>1</v>
      </c>
      <c r="D1840" s="6">
        <v>1.4054813773717499E-4</v>
      </c>
      <c r="E1840" s="7">
        <v>9.8383696416022397E-3</v>
      </c>
    </row>
    <row r="1841" spans="1:5" x14ac:dyDescent="0.3">
      <c r="A1841" t="str">
        <f>HYPERLINK("https://anilist.co/staff/211415","Staff: Jonathan Klein (ADR Director (English))")</f>
        <v>Staff: Jonathan Klein (ADR Director (English))</v>
      </c>
      <c r="B1841" s="5">
        <v>70</v>
      </c>
      <c r="C1841" s="9">
        <v>1</v>
      </c>
      <c r="D1841" s="6">
        <v>1.4054813773717499E-4</v>
      </c>
      <c r="E1841" s="7">
        <v>9.8383696416022397E-3</v>
      </c>
    </row>
    <row r="1842" spans="1:5" x14ac:dyDescent="0.3">
      <c r="A1842" t="str">
        <f>HYPERLINK("https://anilist.co/staff/95723","Staff: Satomi Akesaka (Theme Song Performance (OP, ED))")</f>
        <v>Staff: Satomi Akesaka (Theme Song Performance (OP, ED))</v>
      </c>
      <c r="B1842" s="5">
        <v>70</v>
      </c>
      <c r="C1842" s="9">
        <v>1</v>
      </c>
      <c r="D1842" s="6">
        <v>1.4054813773717499E-4</v>
      </c>
      <c r="E1842" s="7">
        <v>9.8383696416022397E-3</v>
      </c>
    </row>
    <row r="1843" spans="1:5" x14ac:dyDescent="0.3">
      <c r="A1843" t="str">
        <f>HYPERLINK("https://anilist.co/staff/151445","Staff: Natsumi Kawaida (Theme Song Performance (OP, ED))")</f>
        <v>Staff: Natsumi Kawaida (Theme Song Performance (OP, ED))</v>
      </c>
      <c r="B1843" s="5">
        <v>70</v>
      </c>
      <c r="C1843" s="9">
        <v>1</v>
      </c>
      <c r="D1843" s="6">
        <v>1.4054813773717499E-4</v>
      </c>
      <c r="E1843" s="7">
        <v>9.8383696416022397E-3</v>
      </c>
    </row>
    <row r="1844" spans="1:5" x14ac:dyDescent="0.3">
      <c r="A1844" t="str">
        <f>HYPERLINK("https://anilist.co/staff/127725","Staff: Yuu Sasahara (Theme Song Performance (OP, ED))")</f>
        <v>Staff: Yuu Sasahara (Theme Song Performance (OP, ED))</v>
      </c>
      <c r="B1844" s="5">
        <v>70</v>
      </c>
      <c r="C1844" s="9">
        <v>1</v>
      </c>
      <c r="D1844" s="6">
        <v>1.4054813773717499E-4</v>
      </c>
      <c r="E1844" s="7">
        <v>9.8383696416022397E-3</v>
      </c>
    </row>
    <row r="1845" spans="1:5" x14ac:dyDescent="0.3">
      <c r="A1845" t="str">
        <f>HYPERLINK("https://anilist.co/staff/132283","Staff: Kanon Takao (Theme Song Performance (OP, ED))")</f>
        <v>Staff: Kanon Takao (Theme Song Performance (OP, ED))</v>
      </c>
      <c r="B1845" s="5">
        <v>70</v>
      </c>
      <c r="C1845" s="9">
        <v>1</v>
      </c>
      <c r="D1845" s="6">
        <v>1.4054813773717499E-4</v>
      </c>
      <c r="E1845" s="7">
        <v>9.8383696416022397E-3</v>
      </c>
    </row>
    <row r="1846" spans="1:5" x14ac:dyDescent="0.3">
      <c r="A1846" t="str">
        <f>HYPERLINK("https://anilist.co/staff/150561","Staff: ZAI-ON (Theme Song Composition (OP, ED))")</f>
        <v>Staff: ZAI-ON (Theme Song Composition (OP, ED))</v>
      </c>
      <c r="B1846" s="5">
        <v>70</v>
      </c>
      <c r="C1846" s="9">
        <v>1</v>
      </c>
      <c r="D1846" s="6">
        <v>1.4054813773717499E-4</v>
      </c>
      <c r="E1846" s="7">
        <v>9.8383696416022397E-3</v>
      </c>
    </row>
    <row r="1847" spans="1:5" x14ac:dyDescent="0.3">
      <c r="A1847" t="str">
        <f>HYPERLINK("https://anilist.co/staff/97718","Staff: Hiroya Oku (Original Creator)")</f>
        <v>Staff: Hiroya Oku (Original Creator)</v>
      </c>
      <c r="B1847" s="5">
        <v>70</v>
      </c>
      <c r="C1847" s="9">
        <v>1</v>
      </c>
      <c r="D1847" s="6">
        <v>1.4054813773717499E-4</v>
      </c>
      <c r="E1847" s="7">
        <v>9.8383696416022397E-3</v>
      </c>
    </row>
    <row r="1848" spans="1:5" x14ac:dyDescent="0.3">
      <c r="A1848" t="str">
        <f>HYPERLINK("https://anilist.co/staff/106626","Staff: Keiichi Satou (Chief Director)")</f>
        <v>Staff: Keiichi Satou (Chief Director)</v>
      </c>
      <c r="B1848" s="5">
        <v>70</v>
      </c>
      <c r="C1848" s="9">
        <v>1</v>
      </c>
      <c r="D1848" s="6">
        <v>1.4054813773717499E-4</v>
      </c>
      <c r="E1848" s="7">
        <v>9.8383696416022397E-3</v>
      </c>
    </row>
    <row r="1849" spans="1:5" x14ac:dyDescent="0.3">
      <c r="A1849" t="str">
        <f>HYPERLINK("https://anilist.co/staff/120824","Staff: Shuuhei Yabuta (Director)")</f>
        <v>Staff: Shuuhei Yabuta (Director)</v>
      </c>
      <c r="B1849" s="5">
        <v>70</v>
      </c>
      <c r="C1849" s="9">
        <v>1</v>
      </c>
      <c r="D1849" s="6">
        <v>1.4054813773717499E-4</v>
      </c>
      <c r="E1849" s="7">
        <v>9.8383696416022397E-3</v>
      </c>
    </row>
    <row r="1850" spans="1:5" x14ac:dyDescent="0.3">
      <c r="A1850" t="str">
        <f>HYPERLINK("https://anilist.co/staff/99012","Staff: Hiroshi Seko (Series Composition)")</f>
        <v>Staff: Hiroshi Seko (Series Composition)</v>
      </c>
      <c r="B1850" s="5">
        <v>70</v>
      </c>
      <c r="C1850" s="9">
        <v>1</v>
      </c>
      <c r="D1850" s="6">
        <v>1.4054813773717499E-4</v>
      </c>
      <c r="E1850" s="7">
        <v>9.8383696416022397E-3</v>
      </c>
    </row>
    <row r="1851" spans="1:5" x14ac:dyDescent="0.3">
      <c r="A1851" t="str">
        <f>HYPERLINK("https://anilist.co/staff/99012","Staff: Hiroshi Seko (Script)")</f>
        <v>Staff: Hiroshi Seko (Script)</v>
      </c>
      <c r="B1851" s="5">
        <v>70</v>
      </c>
      <c r="C1851" s="9">
        <v>1</v>
      </c>
      <c r="D1851" s="6">
        <v>1.4054813773717499E-4</v>
      </c>
      <c r="E1851" s="7">
        <v>9.8383696416022397E-3</v>
      </c>
    </row>
    <row r="1852" spans="1:5" x14ac:dyDescent="0.3">
      <c r="A1852" t="str">
        <f>HYPERLINK("https://anilist.co/staff/102427","Staff: Naoyuki Onda (Character Design)")</f>
        <v>Staff: Naoyuki Onda (Character Design)</v>
      </c>
      <c r="B1852" s="5">
        <v>70</v>
      </c>
      <c r="C1852" s="9">
        <v>1</v>
      </c>
      <c r="D1852" s="6">
        <v>1.4054813773717499E-4</v>
      </c>
      <c r="E1852" s="7">
        <v>9.8383696416022397E-3</v>
      </c>
    </row>
    <row r="1853" spans="1:5" x14ac:dyDescent="0.3">
      <c r="A1853" t="str">
        <f>HYPERLINK("https://anilist.co/staff/120063","Staff: MAN WITH A MISSION (Theme Song Performance (OP))")</f>
        <v>Staff: MAN WITH A MISSION (Theme Song Performance (OP))</v>
      </c>
      <c r="B1853" s="5">
        <v>70</v>
      </c>
      <c r="C1853" s="9">
        <v>1</v>
      </c>
      <c r="D1853" s="6">
        <v>1.4054813773717499E-4</v>
      </c>
      <c r="E1853" s="7">
        <v>9.8383696416022397E-3</v>
      </c>
    </row>
    <row r="1854" spans="1:5" x14ac:dyDescent="0.3">
      <c r="A1854" t="str">
        <f>HYPERLINK("https://anilist.co/staff/123406","Staff:  Qaijff (Theme Song Performance (ED))")</f>
        <v>Staff:  Qaijff (Theme Song Performance (ED))</v>
      </c>
      <c r="B1854" s="5">
        <v>70</v>
      </c>
      <c r="C1854" s="9">
        <v>1</v>
      </c>
      <c r="D1854" s="6">
        <v>1.4054813773717499E-4</v>
      </c>
      <c r="E1854" s="7">
        <v>9.8383696416022397E-3</v>
      </c>
    </row>
    <row r="1855" spans="1:5" x14ac:dyDescent="0.3">
      <c r="A1855" t="str">
        <f>HYPERLINK("https://anilist.co/staff/144750","Staff: Hideki Nakamura (Art Director)")</f>
        <v>Staff: Hideki Nakamura (Art Director)</v>
      </c>
      <c r="B1855" s="5">
        <v>70</v>
      </c>
      <c r="C1855" s="9">
        <v>1</v>
      </c>
      <c r="D1855" s="6">
        <v>1.4054813773717499E-4</v>
      </c>
      <c r="E1855" s="7">
        <v>9.8383696416022397E-3</v>
      </c>
    </row>
    <row r="1856" spans="1:5" x14ac:dyDescent="0.3">
      <c r="A1856" t="str">
        <f>HYPERLINK("https://anilist.co/staff/108747","Staff: Kouji Haneda (Chief Animation Director (eps 2, 5, 7, 9-11))")</f>
        <v>Staff: Kouji Haneda (Chief Animation Director (eps 2, 5, 7, 9-11))</v>
      </c>
      <c r="B1856" s="5">
        <v>70</v>
      </c>
      <c r="C1856" s="9">
        <v>1</v>
      </c>
      <c r="D1856" s="6">
        <v>1.4054813773717499E-4</v>
      </c>
      <c r="E1856" s="7">
        <v>9.8383696416022397E-3</v>
      </c>
    </row>
    <row r="1857" spans="1:5" x14ac:dyDescent="0.3">
      <c r="A1857" t="str">
        <f>HYPERLINK("https://anilist.co/staff/132974","Staff: Kiyoshi Hirose (Editing)")</f>
        <v>Staff: Kiyoshi Hirose (Editing)</v>
      </c>
      <c r="B1857" s="5">
        <v>70</v>
      </c>
      <c r="C1857" s="9">
        <v>1</v>
      </c>
      <c r="D1857" s="6">
        <v>1.4054813773717499E-4</v>
      </c>
      <c r="E1857" s="7">
        <v>9.8383696416022397E-3</v>
      </c>
    </row>
    <row r="1858" spans="1:5" x14ac:dyDescent="0.3">
      <c r="A1858" t="str">
        <f>HYPERLINK("https://anilist.co/staff/102427","Staff: Naoyuki Onda (Chief Animation Director (eps 7, 11))")</f>
        <v>Staff: Naoyuki Onda (Chief Animation Director (eps 7, 11))</v>
      </c>
      <c r="B1858" s="5">
        <v>70</v>
      </c>
      <c r="C1858" s="9">
        <v>1</v>
      </c>
      <c r="D1858" s="6">
        <v>1.4054813773717499E-4</v>
      </c>
      <c r="E1858" s="7">
        <v>9.8383696416022397E-3</v>
      </c>
    </row>
    <row r="1859" spans="1:5" x14ac:dyDescent="0.3">
      <c r="A1859" t="str">
        <f>HYPERLINK("https://anilist.co/staff/105419","Staff: Kenji Hayama (Chief Animation Director (eps 3, 6, 7, 9-11))")</f>
        <v>Staff: Kenji Hayama (Chief Animation Director (eps 3, 6, 7, 9-11))</v>
      </c>
      <c r="B1859" s="5">
        <v>70</v>
      </c>
      <c r="C1859" s="9">
        <v>1</v>
      </c>
      <c r="D1859" s="6">
        <v>1.4054813773717499E-4</v>
      </c>
      <c r="E1859" s="7">
        <v>9.8383696416022397E-3</v>
      </c>
    </row>
    <row r="1860" spans="1:5" x14ac:dyDescent="0.3">
      <c r="A1860" t="str">
        <f>HYPERLINK("https://anilist.co/staff/144844","Staff: Hiromune Kurahashi (Sound Effects)")</f>
        <v>Staff: Hiromune Kurahashi (Sound Effects)</v>
      </c>
      <c r="B1860" s="5">
        <v>70</v>
      </c>
      <c r="C1860" s="9">
        <v>1</v>
      </c>
      <c r="D1860" s="6">
        <v>1.4054813773717499E-4</v>
      </c>
      <c r="E1860" s="7">
        <v>9.8383696416022397E-3</v>
      </c>
    </row>
    <row r="1861" spans="1:5" x14ac:dyDescent="0.3">
      <c r="A1861" t="str">
        <f>HYPERLINK("https://anilist.co/staff/144845","Staff: Shinpei Kamata (Chief Animation Director (eps 1, 4, 8-11))")</f>
        <v>Staff: Shinpei Kamata (Chief Animation Director (eps 1, 4, 8-11))</v>
      </c>
      <c r="B1861" s="5">
        <v>70</v>
      </c>
      <c r="C1861" s="9">
        <v>1</v>
      </c>
      <c r="D1861" s="6">
        <v>1.4054813773717499E-4</v>
      </c>
      <c r="E1861" s="7">
        <v>9.8383696416022397E-3</v>
      </c>
    </row>
    <row r="1862" spans="1:5" x14ac:dyDescent="0.3">
      <c r="A1862" t="str">
        <f>HYPERLINK("https://anilist.co/staff/109031","Staff: Atsuhiro Iwakami (Production)")</f>
        <v>Staff: Atsuhiro Iwakami (Production)</v>
      </c>
      <c r="B1862" s="5">
        <v>70</v>
      </c>
      <c r="C1862" s="9">
        <v>1</v>
      </c>
      <c r="D1862" s="6">
        <v>1.4054813773717499E-4</v>
      </c>
      <c r="E1862" s="7">
        <v>9.8383696416022397E-3</v>
      </c>
    </row>
    <row r="1863" spans="1:5" x14ac:dyDescent="0.3">
      <c r="A1863" t="str">
        <f>HYPERLINK("https://anilist.co/staff/206858","Staff: Makoto Yamaguchi (Production)")</f>
        <v>Staff: Makoto Yamaguchi (Production)</v>
      </c>
      <c r="B1863" s="5">
        <v>70</v>
      </c>
      <c r="C1863" s="9">
        <v>1</v>
      </c>
      <c r="D1863" s="6">
        <v>1.4054813773717499E-4</v>
      </c>
      <c r="E1863" s="7">
        <v>9.8383696416022397E-3</v>
      </c>
    </row>
    <row r="1864" spans="1:5" x14ac:dyDescent="0.3">
      <c r="A1864" t="str">
        <f>HYPERLINK("https://anilist.co/staff/149704","Staff: Yuusuke Muranaka (Production)")</f>
        <v>Staff: Yuusuke Muranaka (Production)</v>
      </c>
      <c r="B1864" s="5">
        <v>70</v>
      </c>
      <c r="C1864" s="9">
        <v>1</v>
      </c>
      <c r="D1864" s="6">
        <v>1.4054813773717499E-4</v>
      </c>
      <c r="E1864" s="7">
        <v>9.8383696416022397E-3</v>
      </c>
    </row>
    <row r="1865" spans="1:5" x14ac:dyDescent="0.3">
      <c r="A1865" t="str">
        <f>HYPERLINK("https://anilist.co/staff/142409","Staff: Osamu Yoshiba (Production)")</f>
        <v>Staff: Osamu Yoshiba (Production)</v>
      </c>
      <c r="B1865" s="5">
        <v>70</v>
      </c>
      <c r="C1865" s="9">
        <v>1</v>
      </c>
      <c r="D1865" s="6">
        <v>1.4054813773717499E-4</v>
      </c>
      <c r="E1865" s="7">
        <v>9.8383696416022397E-3</v>
      </c>
    </row>
    <row r="1866" spans="1:5" x14ac:dyDescent="0.3">
      <c r="A1866" t="str">
        <f>HYPERLINK("https://anilist.co/staff/148159","Staff: Yukiko Takase (Chief Producer)")</f>
        <v>Staff: Yukiko Takase (Chief Producer)</v>
      </c>
      <c r="B1866" s="5">
        <v>70</v>
      </c>
      <c r="C1866" s="9">
        <v>1</v>
      </c>
      <c r="D1866" s="6">
        <v>1.4054813773717499E-4</v>
      </c>
      <c r="E1866" s="7">
        <v>9.8383696416022397E-3</v>
      </c>
    </row>
    <row r="1867" spans="1:5" x14ac:dyDescent="0.3">
      <c r="A1867" t="str">
        <f>HYPERLINK("https://anilist.co/staff/146688","Staff: Masanori Miyake (Chief Producer)")</f>
        <v>Staff: Masanori Miyake (Chief Producer)</v>
      </c>
      <c r="B1867" s="5">
        <v>70</v>
      </c>
      <c r="C1867" s="9">
        <v>1</v>
      </c>
      <c r="D1867" s="6">
        <v>1.4054813773717499E-4</v>
      </c>
      <c r="E1867" s="7">
        <v>9.8383696416022397E-3</v>
      </c>
    </row>
    <row r="1868" spans="1:5" x14ac:dyDescent="0.3">
      <c r="A1868" t="str">
        <f>HYPERLINK("https://anilist.co/staff/147314","Staff: Taku Matsuo (Producer)")</f>
        <v>Staff: Taku Matsuo (Producer)</v>
      </c>
      <c r="B1868" s="5">
        <v>70</v>
      </c>
      <c r="C1868" s="9">
        <v>1</v>
      </c>
      <c r="D1868" s="6">
        <v>1.4054813773717499E-4</v>
      </c>
      <c r="E1868" s="7">
        <v>9.8383696416022397E-3</v>
      </c>
    </row>
    <row r="1869" spans="1:5" x14ac:dyDescent="0.3">
      <c r="A1869" t="str">
        <f>HYPERLINK("https://anilist.co/staff/102362","Staff: Kakifly  (Original Creator)")</f>
        <v>Staff: Kakifly  (Original Creator)</v>
      </c>
      <c r="B1869" s="5">
        <v>70</v>
      </c>
      <c r="C1869" s="9">
        <v>1</v>
      </c>
      <c r="D1869" s="6">
        <v>1.4054813773717499E-4</v>
      </c>
      <c r="E1869" s="7">
        <v>9.8383696416022397E-3</v>
      </c>
    </row>
    <row r="1870" spans="1:5" x14ac:dyDescent="0.3">
      <c r="A1870" t="str">
        <f>HYPERLINK("https://anilist.co/staff/102498","Staff: Naoko Yamada (Director)")</f>
        <v>Staff: Naoko Yamada (Director)</v>
      </c>
      <c r="B1870" s="5">
        <v>70</v>
      </c>
      <c r="C1870" s="9">
        <v>1</v>
      </c>
      <c r="D1870" s="6">
        <v>1.4054813773717499E-4</v>
      </c>
      <c r="E1870" s="7">
        <v>9.8383696416022397E-3</v>
      </c>
    </row>
    <row r="1871" spans="1:5" x14ac:dyDescent="0.3">
      <c r="A1871" t="str">
        <f>HYPERLINK("https://anilist.co/staff/102497","Staff: Yukiko Horiguchi (Character Design)")</f>
        <v>Staff: Yukiko Horiguchi (Character Design)</v>
      </c>
      <c r="B1871" s="5">
        <v>70</v>
      </c>
      <c r="C1871" s="9">
        <v>1</v>
      </c>
      <c r="D1871" s="6">
        <v>1.4054813773717499E-4</v>
      </c>
      <c r="E1871" s="7">
        <v>9.8383696416022397E-3</v>
      </c>
    </row>
    <row r="1872" spans="1:5" x14ac:dyDescent="0.3">
      <c r="A1872" t="str">
        <f>HYPERLINK("https://anilist.co/staff/102497","Staff: Yukiko Horiguchi (Chief Animation Director)")</f>
        <v>Staff: Yukiko Horiguchi (Chief Animation Director)</v>
      </c>
      <c r="B1872" s="5">
        <v>70</v>
      </c>
      <c r="C1872" s="9">
        <v>1</v>
      </c>
      <c r="D1872" s="6">
        <v>1.4054813773717499E-4</v>
      </c>
      <c r="E1872" s="7">
        <v>9.8383696416022397E-3</v>
      </c>
    </row>
    <row r="1873" spans="1:5" x14ac:dyDescent="0.3">
      <c r="A1873" t="str">
        <f>HYPERLINK("https://anilist.co/staff/149955","Staff: Hiroyuki Takahashi (Musical Instrument Design)")</f>
        <v>Staff: Hiroyuki Takahashi (Musical Instrument Design)</v>
      </c>
      <c r="B1873" s="5">
        <v>70</v>
      </c>
      <c r="C1873" s="9">
        <v>1</v>
      </c>
      <c r="D1873" s="6">
        <v>1.4054813773717499E-4</v>
      </c>
      <c r="E1873" s="7">
        <v>9.8383696416022397E-3</v>
      </c>
    </row>
    <row r="1874" spans="1:5" x14ac:dyDescent="0.3">
      <c r="A1874" t="str">
        <f>HYPERLINK("https://anilist.co/staff/149955","Staff: Hiroyuki Takahashi (Musical Instrument Animation Director)")</f>
        <v>Staff: Hiroyuki Takahashi (Musical Instrument Animation Director)</v>
      </c>
      <c r="B1874" s="5">
        <v>70</v>
      </c>
      <c r="C1874" s="9">
        <v>1</v>
      </c>
      <c r="D1874" s="6">
        <v>1.4054813773717499E-4</v>
      </c>
      <c r="E1874" s="7">
        <v>9.8383696416022397E-3</v>
      </c>
    </row>
    <row r="1875" spans="1:5" x14ac:dyDescent="0.3">
      <c r="A1875" t="str">
        <f>HYPERLINK("https://anilist.co/staff/95599","Staff: Aki Toyosaki (Theme Song Performance (OP, ED))")</f>
        <v>Staff: Aki Toyosaki (Theme Song Performance (OP, ED))</v>
      </c>
      <c r="B1875" s="5">
        <v>70</v>
      </c>
      <c r="C1875" s="9">
        <v>1</v>
      </c>
      <c r="D1875" s="6">
        <v>1.4054813773717499E-4</v>
      </c>
      <c r="E1875" s="7">
        <v>9.8383696416022397E-3</v>
      </c>
    </row>
    <row r="1876" spans="1:5" x14ac:dyDescent="0.3">
      <c r="A1876" t="str">
        <f>HYPERLINK("https://anilist.co/staff/106772","Staff: Ho-kago Tea Time  (Theme Song Performance (OP, ED))")</f>
        <v>Staff: Ho-kago Tea Time  (Theme Song Performance (OP, ED))</v>
      </c>
      <c r="B1876" s="5">
        <v>70</v>
      </c>
      <c r="C1876" s="9">
        <v>1</v>
      </c>
      <c r="D1876" s="6">
        <v>1.4054813773717499E-4</v>
      </c>
      <c r="E1876" s="7">
        <v>9.8383696416022397E-3</v>
      </c>
    </row>
    <row r="1877" spans="1:5" x14ac:dyDescent="0.3">
      <c r="A1877" t="str">
        <f>HYPERLINK("https://anilist.co/staff/101560","Staff: Satomi Satou (Theme Song Performance (OP, ED))")</f>
        <v>Staff: Satomi Satou (Theme Song Performance (OP, ED))</v>
      </c>
      <c r="B1877" s="5">
        <v>70</v>
      </c>
      <c r="C1877" s="9">
        <v>1</v>
      </c>
      <c r="D1877" s="6">
        <v>1.4054813773717499E-4</v>
      </c>
      <c r="E1877" s="7">
        <v>9.8383696416022397E-3</v>
      </c>
    </row>
    <row r="1878" spans="1:5" x14ac:dyDescent="0.3">
      <c r="A1878" t="str">
        <f>HYPERLINK("https://anilist.co/staff/101634","Staff: Minako Kotobuki (Theme Song Performance (OP, ED))")</f>
        <v>Staff: Minako Kotobuki (Theme Song Performance (OP, ED))</v>
      </c>
      <c r="B1878" s="5">
        <v>70</v>
      </c>
      <c r="C1878" s="9">
        <v>1</v>
      </c>
      <c r="D1878" s="6">
        <v>1.4054813773717499E-4</v>
      </c>
      <c r="E1878" s="7">
        <v>9.8383696416022397E-3</v>
      </c>
    </row>
    <row r="1879" spans="1:5" x14ac:dyDescent="0.3">
      <c r="A1879" t="str">
        <f>HYPERLINK("https://anilist.co/staff/102263","Staff: Youko Hikasa (Theme Song Performance (OP, ED))")</f>
        <v>Staff: Youko Hikasa (Theme Song Performance (OP, ED))</v>
      </c>
      <c r="B1879" s="5">
        <v>70</v>
      </c>
      <c r="C1879" s="9">
        <v>1</v>
      </c>
      <c r="D1879" s="6">
        <v>1.4054813773717499E-4</v>
      </c>
      <c r="E1879" s="7">
        <v>9.8383696416022397E-3</v>
      </c>
    </row>
    <row r="1880" spans="1:5" x14ac:dyDescent="0.3">
      <c r="A1880" t="str">
        <f>HYPERLINK("https://anilist.co/staff/112803","Staff: Shigeo Komori (Theme Song Arrangment (ED))")</f>
        <v>Staff: Shigeo Komori (Theme Song Arrangment (ED))</v>
      </c>
      <c r="B1880" s="5">
        <v>70</v>
      </c>
      <c r="C1880" s="9">
        <v>1</v>
      </c>
      <c r="D1880" s="6">
        <v>1.4054813773717499E-4</v>
      </c>
      <c r="E1880" s="7">
        <v>9.8383696416022397E-3</v>
      </c>
    </row>
    <row r="1881" spans="1:5" x14ac:dyDescent="0.3">
      <c r="A1881" t="str">
        <f>HYPERLINK("https://anilist.co/staff/107596","Staff: Tomohiro Ooshima (Theme Song Arrangement (OP))")</f>
        <v>Staff: Tomohiro Ooshima (Theme Song Arrangement (OP))</v>
      </c>
      <c r="B1881" s="5">
        <v>70</v>
      </c>
      <c r="C1881" s="9">
        <v>1</v>
      </c>
      <c r="D1881" s="6">
        <v>1.4054813773717499E-4</v>
      </c>
      <c r="E1881" s="7">
        <v>9.8383696416022397E-3</v>
      </c>
    </row>
    <row r="1882" spans="1:5" x14ac:dyDescent="0.3">
      <c r="A1882" t="str">
        <f>HYPERLINK("https://anilist.co/staff/106772","Staff: Ho-kago Tea Time  (Insert Song Performance (eps 6, 8, 12))")</f>
        <v>Staff: Ho-kago Tea Time  (Insert Song Performance (eps 6, 8, 12))</v>
      </c>
      <c r="B1882" s="5">
        <v>70</v>
      </c>
      <c r="C1882" s="9">
        <v>1</v>
      </c>
      <c r="D1882" s="6">
        <v>1.4054813773717499E-4</v>
      </c>
      <c r="E1882" s="7">
        <v>9.8383696416022397E-3</v>
      </c>
    </row>
    <row r="1883" spans="1:5" x14ac:dyDescent="0.3">
      <c r="A1883" t="str">
        <f>HYPERLINK("https://anilist.co/staff/107596","Staff: Tomohiro Ooshima (Theme Song Composition (OP))")</f>
        <v>Staff: Tomohiro Ooshima (Theme Song Composition (OP))</v>
      </c>
      <c r="B1883" s="5">
        <v>70</v>
      </c>
      <c r="C1883" s="9">
        <v>1</v>
      </c>
      <c r="D1883" s="6">
        <v>1.4054813773717499E-4</v>
      </c>
      <c r="E1883" s="7">
        <v>9.8383696416022397E-3</v>
      </c>
    </row>
    <row r="1884" spans="1:5" x14ac:dyDescent="0.3">
      <c r="A1884" t="str">
        <f>HYPERLINK("https://anilist.co/staff/112803","Staff: Shigeo Komori (Music Producer)")</f>
        <v>Staff: Shigeo Komori (Music Producer)</v>
      </c>
      <c r="B1884" s="5">
        <v>70</v>
      </c>
      <c r="C1884" s="9">
        <v>1</v>
      </c>
      <c r="D1884" s="6">
        <v>1.4054813773717499E-4</v>
      </c>
      <c r="E1884" s="7">
        <v>9.8383696416022397E-3</v>
      </c>
    </row>
    <row r="1885" spans="1:5" x14ac:dyDescent="0.3">
      <c r="A1885" t="str">
        <f>HYPERLINK("https://anilist.co/staff/102499","Staff: Seiki Tamura (Art Director)")</f>
        <v>Staff: Seiki Tamura (Art Director)</v>
      </c>
      <c r="B1885" s="5">
        <v>70</v>
      </c>
      <c r="C1885" s="9">
        <v>1</v>
      </c>
      <c r="D1885" s="6">
        <v>1.4054813773717499E-4</v>
      </c>
      <c r="E1885" s="7">
        <v>9.8383696416022397E-3</v>
      </c>
    </row>
    <row r="1886" spans="1:5" x14ac:dyDescent="0.3">
      <c r="A1886" t="str">
        <f>HYPERLINK("https://anilist.co/staff/125735","Staff: Roy (Original Story)")</f>
        <v>Staff: Roy (Original Story)</v>
      </c>
      <c r="B1886" s="5">
        <v>70</v>
      </c>
      <c r="C1886" s="9">
        <v>1</v>
      </c>
      <c r="D1886" s="6">
        <v>1.4054813773717499E-4</v>
      </c>
      <c r="E1886" s="7">
        <v>9.8383696416022397E-3</v>
      </c>
    </row>
    <row r="1887" spans="1:5" x14ac:dyDescent="0.3">
      <c r="A1887" t="str">
        <f>HYPERLINK("https://anilist.co/staff/122172","Staff:  Ririnra (Original Character Design)")</f>
        <v>Staff:  Ririnra (Original Character Design)</v>
      </c>
      <c r="B1887" s="5">
        <v>70</v>
      </c>
      <c r="C1887" s="9">
        <v>1</v>
      </c>
      <c r="D1887" s="6">
        <v>1.4054813773717499E-4</v>
      </c>
      <c r="E1887" s="7">
        <v>9.8383696416022397E-3</v>
      </c>
    </row>
    <row r="1888" spans="1:5" x14ac:dyDescent="0.3">
      <c r="A1888" t="str">
        <f>HYPERLINK("https://anilist.co/staff/118600","Staff: Takeyuki Yanase (Director)")</f>
        <v>Staff: Takeyuki Yanase (Director)</v>
      </c>
      <c r="B1888" s="5">
        <v>70</v>
      </c>
      <c r="C1888" s="9">
        <v>1</v>
      </c>
      <c r="D1888" s="6">
        <v>1.4054813773717499E-4</v>
      </c>
      <c r="E1888" s="7">
        <v>9.8383696416022397E-3</v>
      </c>
    </row>
    <row r="1889" spans="1:5" x14ac:dyDescent="0.3">
      <c r="A1889" t="str">
        <f>HYPERLINK("https://anilist.co/staff/169451","Staff: Kaho Deguchi (Chief Animation Director)")</f>
        <v>Staff: Kaho Deguchi (Chief Animation Director)</v>
      </c>
      <c r="B1889" s="5">
        <v>70</v>
      </c>
      <c r="C1889" s="9">
        <v>1</v>
      </c>
      <c r="D1889" s="6">
        <v>1.4054813773717499E-4</v>
      </c>
      <c r="E1889" s="7">
        <v>9.8383696416022397E-3</v>
      </c>
    </row>
    <row r="1890" spans="1:5" x14ac:dyDescent="0.3">
      <c r="A1890" t="str">
        <f>HYPERLINK("https://anilist.co/staff/169451","Staff: Kaho Deguchi (Character Design)")</f>
        <v>Staff: Kaho Deguchi (Character Design)</v>
      </c>
      <c r="B1890" s="5">
        <v>70</v>
      </c>
      <c r="C1890" s="9">
        <v>1</v>
      </c>
      <c r="D1890" s="6">
        <v>1.4054813773717499E-4</v>
      </c>
      <c r="E1890" s="7">
        <v>9.8383696416022397E-3</v>
      </c>
    </row>
    <row r="1891" spans="1:5" x14ac:dyDescent="0.3">
      <c r="A1891" t="str">
        <f>HYPERLINK("https://anilist.co/staff/150928","Staff: Satoshi Shibata (Art Director)")</f>
        <v>Staff: Satoshi Shibata (Art Director)</v>
      </c>
      <c r="B1891" s="5">
        <v>70</v>
      </c>
      <c r="C1891" s="9">
        <v>1</v>
      </c>
      <c r="D1891" s="6">
        <v>1.4054813773717499E-4</v>
      </c>
      <c r="E1891" s="7">
        <v>9.8383696416022397E-3</v>
      </c>
    </row>
    <row r="1892" spans="1:5" x14ac:dyDescent="0.3">
      <c r="A1892" t="str">
        <f>HYPERLINK("https://anilist.co/staff/120019","Staff: Hiroaki Tsutsumi (Music)")</f>
        <v>Staff: Hiroaki Tsutsumi (Music)</v>
      </c>
      <c r="B1892" s="5">
        <v>70</v>
      </c>
      <c r="C1892" s="9">
        <v>1</v>
      </c>
      <c r="D1892" s="6">
        <v>1.4054813773717499E-4</v>
      </c>
      <c r="E1892" s="7">
        <v>9.8383696416022397E-3</v>
      </c>
    </row>
    <row r="1893" spans="1:5" x14ac:dyDescent="0.3">
      <c r="A1893" t="str">
        <f>HYPERLINK("https://anilist.co/staff/162166","Staff: Yukina Nomura (Director of Photography)")</f>
        <v>Staff: Yukina Nomura (Director of Photography)</v>
      </c>
      <c r="B1893" s="5">
        <v>70</v>
      </c>
      <c r="C1893" s="9">
        <v>1</v>
      </c>
      <c r="D1893" s="6">
        <v>1.4054813773717499E-4</v>
      </c>
      <c r="E1893" s="7">
        <v>9.8383696416022397E-3</v>
      </c>
    </row>
    <row r="1894" spans="1:5" x14ac:dyDescent="0.3">
      <c r="A1894" t="str">
        <f>HYPERLINK("https://anilist.co/staff/162165","Staff: Aki Watanabe (Color Design)")</f>
        <v>Staff: Aki Watanabe (Color Design)</v>
      </c>
      <c r="B1894" s="5">
        <v>70</v>
      </c>
      <c r="C1894" s="9">
        <v>1</v>
      </c>
      <c r="D1894" s="6">
        <v>1.4054813773717499E-4</v>
      </c>
      <c r="E1894" s="7">
        <v>9.8383696416022397E-3</v>
      </c>
    </row>
    <row r="1895" spans="1:5" x14ac:dyDescent="0.3">
      <c r="A1895" t="str">
        <f>HYPERLINK("https://anilist.co/staff/112297","Staff: Azusa Tadokoro (Theme Song Performance (OP))")</f>
        <v>Staff: Azusa Tadokoro (Theme Song Performance (OP))</v>
      </c>
      <c r="B1895" s="5">
        <v>70</v>
      </c>
      <c r="C1895" s="9">
        <v>1</v>
      </c>
      <c r="D1895" s="6">
        <v>1.4054813773717499E-4</v>
      </c>
      <c r="E1895" s="7">
        <v>9.8383696416022397E-3</v>
      </c>
    </row>
    <row r="1896" spans="1:5" x14ac:dyDescent="0.3">
      <c r="A1896" t="str">
        <f>HYPERLINK("https://anilist.co/staff/191000","Staff: MindaRyn (Theme Song Performance (ED))")</f>
        <v>Staff: MindaRyn (Theme Song Performance (ED))</v>
      </c>
      <c r="B1896" s="5">
        <v>70</v>
      </c>
      <c r="C1896" s="9">
        <v>1</v>
      </c>
      <c r="D1896" s="6">
        <v>1.4054813773717499E-4</v>
      </c>
      <c r="E1896" s="7">
        <v>9.8383696416022397E-3</v>
      </c>
    </row>
    <row r="1897" spans="1:5" x14ac:dyDescent="0.3">
      <c r="A1897" t="str">
        <f>HYPERLINK("https://anilist.co/staff/146774","Staff: William Dewell (Mix Engineer (English))")</f>
        <v>Staff: William Dewell (Mix Engineer (English))</v>
      </c>
      <c r="B1897" s="5">
        <v>70</v>
      </c>
      <c r="C1897" s="9">
        <v>1</v>
      </c>
      <c r="D1897" s="6">
        <v>1.4054813773717499E-4</v>
      </c>
      <c r="E1897" s="7">
        <v>9.8383696416022397E-3</v>
      </c>
    </row>
    <row r="1898" spans="1:5" x14ac:dyDescent="0.3">
      <c r="A1898" t="str">
        <f>HYPERLINK("https://anilist.co/staff/114069","Staff: Tyson Rinehart (Assistant ADR Director (English))")</f>
        <v>Staff: Tyson Rinehart (Assistant ADR Director (English))</v>
      </c>
      <c r="B1898" s="5">
        <v>70</v>
      </c>
      <c r="C1898" s="9">
        <v>1</v>
      </c>
      <c r="D1898" s="6">
        <v>1.4054813773717499E-4</v>
      </c>
      <c r="E1898" s="7">
        <v>9.8383696416022397E-3</v>
      </c>
    </row>
    <row r="1899" spans="1:5" x14ac:dyDescent="0.3">
      <c r="A1899" t="str">
        <f>HYPERLINK("https://anilist.co/staff/146770","Staff: Rickey Watkins (Lead ADR Engineer (English))")</f>
        <v>Staff: Rickey Watkins (Lead ADR Engineer (English))</v>
      </c>
      <c r="B1899" s="5">
        <v>70</v>
      </c>
      <c r="C1899" s="9">
        <v>1</v>
      </c>
      <c r="D1899" s="6">
        <v>1.4054813773717499E-4</v>
      </c>
      <c r="E1899" s="7">
        <v>9.8383696416022397E-3</v>
      </c>
    </row>
    <row r="1900" spans="1:5" x14ac:dyDescent="0.3">
      <c r="A1900" t="str">
        <f>HYPERLINK("https://anilist.co/staff/203933","Staff: Jessica Sluys (ADR Scriptwriter (English))")</f>
        <v>Staff: Jessica Sluys (ADR Scriptwriter (English))</v>
      </c>
      <c r="B1900" s="5">
        <v>70</v>
      </c>
      <c r="C1900" s="9">
        <v>1</v>
      </c>
      <c r="D1900" s="6">
        <v>1.4054813773717499E-4</v>
      </c>
      <c r="E1900" s="7">
        <v>9.8383696416022397E-3</v>
      </c>
    </row>
    <row r="1901" spans="1:5" x14ac:dyDescent="0.3">
      <c r="A1901" t="str">
        <f>HYPERLINK("https://anilist.co/staff/203934","Staff: Brandon Peters (ADR Prep (English))")</f>
        <v>Staff: Brandon Peters (ADR Prep (English))</v>
      </c>
      <c r="B1901" s="5">
        <v>70</v>
      </c>
      <c r="C1901" s="9">
        <v>1</v>
      </c>
      <c r="D1901" s="6">
        <v>1.4054813773717499E-4</v>
      </c>
      <c r="E1901" s="7">
        <v>9.8383696416022397E-3</v>
      </c>
    </row>
    <row r="1902" spans="1:5" x14ac:dyDescent="0.3">
      <c r="A1902" t="str">
        <f>HYPERLINK("https://anilist.co/staff/106978","Staff: Masashi Andou (Animation Director)")</f>
        <v>Staff: Masashi Andou (Animation Director)</v>
      </c>
      <c r="B1902" s="5">
        <v>70</v>
      </c>
      <c r="C1902" s="9">
        <v>1</v>
      </c>
      <c r="D1902" s="6">
        <v>1.4054813773717499E-4</v>
      </c>
      <c r="E1902" s="7">
        <v>9.8383696416022397E-3</v>
      </c>
    </row>
    <row r="1903" spans="1:5" x14ac:dyDescent="0.3">
      <c r="A1903" t="str">
        <f>HYPERLINK("https://anilist.co/staff/121797","Staff: Osamu Masuyama (Background Art)")</f>
        <v>Staff: Osamu Masuyama (Background Art)</v>
      </c>
      <c r="B1903" s="5">
        <v>70</v>
      </c>
      <c r="C1903" s="9">
        <v>1</v>
      </c>
      <c r="D1903" s="6">
        <v>1.4054813773717499E-4</v>
      </c>
      <c r="E1903" s="7">
        <v>9.8383696416022397E-3</v>
      </c>
    </row>
    <row r="1904" spans="1:5" x14ac:dyDescent="0.3">
      <c r="A1904" t="str">
        <f>HYPERLINK("https://anilist.co/staff/122454","Staff: Naoki Kobayashi (Key Animation)")</f>
        <v>Staff: Naoki Kobayashi (Key Animation)</v>
      </c>
      <c r="B1904" s="5">
        <v>70</v>
      </c>
      <c r="C1904" s="9">
        <v>1</v>
      </c>
      <c r="D1904" s="6">
        <v>1.4054813773717499E-4</v>
      </c>
      <c r="E1904" s="7">
        <v>9.8383696416022397E-3</v>
      </c>
    </row>
    <row r="1905" spans="1:5" x14ac:dyDescent="0.3">
      <c r="A1905" t="str">
        <f>HYPERLINK("https://anilist.co/staff/124195","Staff: Haruka Hachinohe (In-Between Animation)")</f>
        <v>Staff: Haruka Hachinohe (In-Between Animation)</v>
      </c>
      <c r="B1905" s="5">
        <v>70</v>
      </c>
      <c r="C1905" s="9">
        <v>1</v>
      </c>
      <c r="D1905" s="6">
        <v>1.4054813773717499E-4</v>
      </c>
      <c r="E1905" s="7">
        <v>9.8383696416022397E-3</v>
      </c>
    </row>
    <row r="1906" spans="1:5" x14ac:dyDescent="0.3">
      <c r="A1906" t="str">
        <f>HYPERLINK("https://anilist.co/staff/124623","Staff: Mateusz Urbanowicz (Background Art)")</f>
        <v>Staff: Mateusz Urbanowicz (Background Art)</v>
      </c>
      <c r="B1906" s="5">
        <v>70</v>
      </c>
      <c r="C1906" s="9">
        <v>1</v>
      </c>
      <c r="D1906" s="6">
        <v>1.4054813773717499E-4</v>
      </c>
      <c r="E1906" s="7">
        <v>9.8383696416022397E-3</v>
      </c>
    </row>
    <row r="1907" spans="1:5" x14ac:dyDescent="0.3">
      <c r="A1907" t="str">
        <f>HYPERLINK("https://anilist.co/staff/125820","Staff: Hideki Hamasu (Key Animation)")</f>
        <v>Staff: Hideki Hamasu (Key Animation)</v>
      </c>
      <c r="B1907" s="5">
        <v>70</v>
      </c>
      <c r="C1907" s="9">
        <v>1</v>
      </c>
      <c r="D1907" s="6">
        <v>1.4054813773717499E-4</v>
      </c>
      <c r="E1907" s="7">
        <v>9.8383696416022397E-3</v>
      </c>
    </row>
    <row r="1908" spans="1:5" x14ac:dyDescent="0.3">
      <c r="A1908" t="str">
        <f>HYPERLINK("https://anilist.co/staff/134889","Staff: Takeshi Inamura (Key Animation)")</f>
        <v>Staff: Takeshi Inamura (Key Animation)</v>
      </c>
      <c r="B1908" s="5">
        <v>70</v>
      </c>
      <c r="C1908" s="9">
        <v>1</v>
      </c>
      <c r="D1908" s="6">
        <v>1.4054813773717499E-4</v>
      </c>
      <c r="E1908" s="7">
        <v>9.8383696416022397E-3</v>
      </c>
    </row>
    <row r="1909" spans="1:5" x14ac:dyDescent="0.3">
      <c r="A1909" t="str">
        <f>HYPERLINK("https://anilist.co/staff/134888","Staff: Megumi Kagawa (Key Animation)")</f>
        <v>Staff: Megumi Kagawa (Key Animation)</v>
      </c>
      <c r="B1909" s="5">
        <v>70</v>
      </c>
      <c r="C1909" s="9">
        <v>1</v>
      </c>
      <c r="D1909" s="6">
        <v>1.4054813773717499E-4</v>
      </c>
      <c r="E1909" s="7">
        <v>9.8383696416022397E-3</v>
      </c>
    </row>
    <row r="1910" spans="1:5" x14ac:dyDescent="0.3">
      <c r="A1910" t="str">
        <f>HYPERLINK("https://anilist.co/staff/108537","Staff: Taisuke Iwasaki (Prop Design)")</f>
        <v>Staff: Taisuke Iwasaki (Prop Design)</v>
      </c>
      <c r="B1910" s="5">
        <v>70</v>
      </c>
      <c r="C1910" s="9">
        <v>1</v>
      </c>
      <c r="D1910" s="6">
        <v>1.4054813773717499E-4</v>
      </c>
      <c r="E1910" s="7">
        <v>9.8383696416022397E-3</v>
      </c>
    </row>
    <row r="1911" spans="1:5" x14ac:dyDescent="0.3">
      <c r="A1911" t="str">
        <f>HYPERLINK("https://anilist.co/staff/96117","Staff: Makoto Shinkai (Editing)")</f>
        <v>Staff: Makoto Shinkai (Editing)</v>
      </c>
      <c r="B1911" s="5">
        <v>70</v>
      </c>
      <c r="C1911" s="9">
        <v>1</v>
      </c>
      <c r="D1911" s="6">
        <v>1.4054813773717499E-4</v>
      </c>
      <c r="E1911" s="7">
        <v>9.8383696416022397E-3</v>
      </c>
    </row>
    <row r="1912" spans="1:5" x14ac:dyDescent="0.3">
      <c r="A1912" t="str">
        <f>HYPERLINK("https://anilist.co/staff/106978","Staff: Masashi Andou (Character Design)")</f>
        <v>Staff: Masashi Andou (Character Design)</v>
      </c>
      <c r="B1912" s="5">
        <v>70</v>
      </c>
      <c r="C1912" s="9">
        <v>1</v>
      </c>
      <c r="D1912" s="6">
        <v>1.4054813773717499E-4</v>
      </c>
      <c r="E1912" s="7">
        <v>9.8383696416022397E-3</v>
      </c>
    </row>
    <row r="1913" spans="1:5" x14ac:dyDescent="0.3">
      <c r="A1913" t="str">
        <f>HYPERLINK("https://anilist.co/staff/146579","Staff: Eiko Morikawa (Sound Effects)")</f>
        <v>Staff: Eiko Morikawa (Sound Effects)</v>
      </c>
      <c r="B1913" s="5">
        <v>70</v>
      </c>
      <c r="C1913" s="9">
        <v>1</v>
      </c>
      <c r="D1913" s="6">
        <v>1.4054813773717499E-4</v>
      </c>
      <c r="E1913" s="7">
        <v>9.8383696416022397E-3</v>
      </c>
    </row>
    <row r="1914" spans="1:5" x14ac:dyDescent="0.3">
      <c r="A1914" t="str">
        <f>HYPERLINK("https://anilist.co/staff/106481","Staff: Takumi Tanji (Art Director)")</f>
        <v>Staff: Takumi Tanji (Art Director)</v>
      </c>
      <c r="B1914" s="5">
        <v>70</v>
      </c>
      <c r="C1914" s="9">
        <v>1</v>
      </c>
      <c r="D1914" s="6">
        <v>1.4054813773717499E-4</v>
      </c>
      <c r="E1914" s="7">
        <v>9.8383696416022397E-3</v>
      </c>
    </row>
    <row r="1915" spans="1:5" x14ac:dyDescent="0.3">
      <c r="A1915" t="str">
        <f>HYPERLINK("https://anilist.co/staff/158640","Staff: Tasuku Watanabe (Art Director)")</f>
        <v>Staff: Tasuku Watanabe (Art Director)</v>
      </c>
      <c r="B1915" s="5">
        <v>70</v>
      </c>
      <c r="C1915" s="9">
        <v>1</v>
      </c>
      <c r="D1915" s="6">
        <v>1.4054813773717499E-4</v>
      </c>
      <c r="E1915" s="7">
        <v>9.8383696416022397E-3</v>
      </c>
    </row>
    <row r="1916" spans="1:5" x14ac:dyDescent="0.3">
      <c r="A1916" t="str">
        <f>HYPERLINK("https://anilist.co/staff/158641","Staff: Akiko Majima (Art Director)")</f>
        <v>Staff: Akiko Majima (Art Director)</v>
      </c>
      <c r="B1916" s="5">
        <v>70</v>
      </c>
      <c r="C1916" s="9">
        <v>1</v>
      </c>
      <c r="D1916" s="6">
        <v>1.4054813773717499E-4</v>
      </c>
      <c r="E1916" s="7">
        <v>9.8383696416022397E-3</v>
      </c>
    </row>
    <row r="1917" spans="1:5" x14ac:dyDescent="0.3">
      <c r="A1917" t="str">
        <f>HYPERLINK("https://anilist.co/staff/149794","Staff: Youko Miki (Color Design)")</f>
        <v>Staff: Youko Miki (Color Design)</v>
      </c>
      <c r="B1917" s="5">
        <v>70</v>
      </c>
      <c r="C1917" s="9">
        <v>1</v>
      </c>
      <c r="D1917" s="6">
        <v>1.4054813773717499E-4</v>
      </c>
      <c r="E1917" s="7">
        <v>9.8383696416022397E-3</v>
      </c>
    </row>
    <row r="1918" spans="1:5" x14ac:dyDescent="0.3">
      <c r="A1918" t="str">
        <f>HYPERLINK("https://anilist.co/staff/142333","Staff: Katsuhiro Takei (Producer)")</f>
        <v>Staff: Katsuhiro Takei (Producer)</v>
      </c>
      <c r="B1918" s="5">
        <v>70</v>
      </c>
      <c r="C1918" s="9">
        <v>1</v>
      </c>
      <c r="D1918" s="6">
        <v>1.4054813773717499E-4</v>
      </c>
      <c r="E1918" s="7">
        <v>9.8383696416022397E-3</v>
      </c>
    </row>
    <row r="1919" spans="1:5" x14ac:dyDescent="0.3">
      <c r="A1919" t="str">
        <f>HYPERLINK("https://anilist.co/staff/109001","Staff: Fear, and Loathing in Las Vegas  (Theme Song Performance (OP))")</f>
        <v>Staff: Fear, and Loathing in Las Vegas  (Theme Song Performance (OP))</v>
      </c>
      <c r="B1919" s="5">
        <v>70</v>
      </c>
      <c r="C1919" s="9">
        <v>1</v>
      </c>
      <c r="D1919" s="6">
        <v>1.4054813773717499E-4</v>
      </c>
      <c r="E1919" s="7">
        <v>9.8383696416022397E-3</v>
      </c>
    </row>
    <row r="1920" spans="1:5" x14ac:dyDescent="0.3">
      <c r="A1920" t="str">
        <f>HYPERLINK("https://anilist.co/staff/129489","Staff: Daichi Miura (Theme Song Performance (ED))")</f>
        <v>Staff: Daichi Miura (Theme Song Performance (ED))</v>
      </c>
      <c r="B1920" s="5">
        <v>70</v>
      </c>
      <c r="C1920" s="9">
        <v>1</v>
      </c>
      <c r="D1920" s="6">
        <v>1.4054813773717499E-4</v>
      </c>
      <c r="E1920" s="7">
        <v>9.8383696416022397E-3</v>
      </c>
    </row>
    <row r="1921" spans="1:5" x14ac:dyDescent="0.3">
      <c r="A1921" t="str">
        <f>HYPERLINK("https://anilist.co/staff/104878","Staff: Frédéric Chopin (Insert Song Composition (eps 15, 23))")</f>
        <v>Staff: Frédéric Chopin (Insert Song Composition (eps 15, 23))</v>
      </c>
      <c r="B1921" s="5">
        <v>70</v>
      </c>
      <c r="C1921" s="9">
        <v>1</v>
      </c>
      <c r="D1921" s="6">
        <v>1.4054813773717499E-4</v>
      </c>
      <c r="E1921" s="7">
        <v>9.8383696416022397E-3</v>
      </c>
    </row>
    <row r="1922" spans="1:5" x14ac:dyDescent="0.3">
      <c r="A1922" t="str">
        <f>HYPERLINK("https://anilist.co/staff/101758","Staff: Manabu Tamura (Planning)")</f>
        <v>Staff: Manabu Tamura (Planning)</v>
      </c>
      <c r="B1922" s="5">
        <v>70</v>
      </c>
      <c r="C1922" s="9">
        <v>1</v>
      </c>
      <c r="D1922" s="6">
        <v>1.4054813773717499E-4</v>
      </c>
      <c r="E1922" s="7">
        <v>9.8383696416022397E-3</v>
      </c>
    </row>
    <row r="1923" spans="1:5" x14ac:dyDescent="0.3">
      <c r="A1923" t="str">
        <f>HYPERLINK("https://anilist.co/staff/119191","Staff: Shouji Yonemura (Series Composition)")</f>
        <v>Staff: Shouji Yonemura (Series Composition)</v>
      </c>
      <c r="B1923" s="5">
        <v>70</v>
      </c>
      <c r="C1923" s="9">
        <v>1</v>
      </c>
      <c r="D1923" s="6">
        <v>1.4054813773717499E-4</v>
      </c>
      <c r="E1923" s="7">
        <v>9.8383696416022397E-3</v>
      </c>
    </row>
    <row r="1924" spans="1:5" x14ac:dyDescent="0.3">
      <c r="A1924" t="str">
        <f>HYPERLINK("https://anilist.co/staff/101185","Staff: Tadashi Hiramatsu (Character Design)")</f>
        <v>Staff: Tadashi Hiramatsu (Character Design)</v>
      </c>
      <c r="B1924" s="5">
        <v>70</v>
      </c>
      <c r="C1924" s="9">
        <v>1</v>
      </c>
      <c r="D1924" s="6">
        <v>1.4054813773717499E-4</v>
      </c>
      <c r="E1924" s="7">
        <v>9.8383696416022397E-3</v>
      </c>
    </row>
    <row r="1925" spans="1:5" x14ac:dyDescent="0.3">
      <c r="A1925" t="str">
        <f>HYPERLINK("https://anilist.co/staff/103184","Staff: Toshiyuki Komaru (Sub Character Design)")</f>
        <v>Staff: Toshiyuki Komaru (Sub Character Design)</v>
      </c>
      <c r="B1925" s="5">
        <v>70</v>
      </c>
      <c r="C1925" s="9">
        <v>1</v>
      </c>
      <c r="D1925" s="6">
        <v>1.4054813773717499E-4</v>
      </c>
      <c r="E1925" s="7">
        <v>9.8383696416022397E-3</v>
      </c>
    </row>
    <row r="1926" spans="1:5" x14ac:dyDescent="0.3">
      <c r="A1926" t="str">
        <f>HYPERLINK("https://anilist.co/staff/132194","Staff: Kenichi Shima (Sub Character Design (eps 14, 20))")</f>
        <v>Staff: Kenichi Shima (Sub Character Design (eps 14, 20))</v>
      </c>
      <c r="B1926" s="5">
        <v>70</v>
      </c>
      <c r="C1926" s="9">
        <v>1</v>
      </c>
      <c r="D1926" s="6">
        <v>1.4054813773717499E-4</v>
      </c>
      <c r="E1926" s="7">
        <v>9.8383696416022397E-3</v>
      </c>
    </row>
    <row r="1927" spans="1:5" x14ac:dyDescent="0.3">
      <c r="A1927" t="str">
        <f>HYPERLINK("https://anilist.co/staff/220439","Staff: Daisuke Fukada (Producer)")</f>
        <v>Staff: Daisuke Fukada (Producer)</v>
      </c>
      <c r="B1927" s="5">
        <v>70</v>
      </c>
      <c r="C1927" s="9">
        <v>1</v>
      </c>
      <c r="D1927" s="6">
        <v>1.4054813773717499E-4</v>
      </c>
      <c r="E1927" s="7">
        <v>9.8383696416022397E-3</v>
      </c>
    </row>
    <row r="1928" spans="1:5" x14ac:dyDescent="0.3">
      <c r="A1928" t="str">
        <f>HYPERLINK("https://anilist.co/staff/150000","Staff: Hiroyuki Inage (Producer)")</f>
        <v>Staff: Hiroyuki Inage (Producer)</v>
      </c>
      <c r="B1928" s="5">
        <v>70</v>
      </c>
      <c r="C1928" s="9">
        <v>1</v>
      </c>
      <c r="D1928" s="6">
        <v>1.4054813773717499E-4</v>
      </c>
      <c r="E1928" s="7">
        <v>9.8383696416022397E-3</v>
      </c>
    </row>
    <row r="1929" spans="1:5" x14ac:dyDescent="0.3">
      <c r="A1929" t="str">
        <f>HYPERLINK("https://anilist.co/staff/102998","Staff: You Yoshinari (Key Animation (ep 1))")</f>
        <v>Staff: You Yoshinari (Key Animation (ep 1))</v>
      </c>
      <c r="B1929" s="5">
        <v>70</v>
      </c>
      <c r="C1929" s="9">
        <v>1</v>
      </c>
      <c r="D1929" s="6">
        <v>1.4054813773717499E-4</v>
      </c>
      <c r="E1929" s="7">
        <v>9.8383696416022397E-3</v>
      </c>
    </row>
    <row r="1930" spans="1:5" x14ac:dyDescent="0.3">
      <c r="A1930" t="str">
        <f>HYPERLINK("https://anilist.co/staff/237090","Staff: Souta Shioiri (Producer)")</f>
        <v>Staff: Souta Shioiri (Producer)</v>
      </c>
      <c r="B1930" s="5">
        <v>70</v>
      </c>
      <c r="C1930" s="9">
        <v>1</v>
      </c>
      <c r="D1930" s="6">
        <v>1.4054813773717499E-4</v>
      </c>
      <c r="E1930" s="7">
        <v>9.8383696416022397E-3</v>
      </c>
    </row>
    <row r="1931" spans="1:5" x14ac:dyDescent="0.3">
      <c r="A1931" t="str">
        <f>HYPERLINK("https://anilist.co/staff/150001","Staff: Atsushi Kirimoto (Producer)")</f>
        <v>Staff: Atsushi Kirimoto (Producer)</v>
      </c>
      <c r="B1931" s="5">
        <v>70</v>
      </c>
      <c r="C1931" s="9">
        <v>1</v>
      </c>
      <c r="D1931" s="6">
        <v>1.4054813773717499E-4</v>
      </c>
      <c r="E1931" s="7">
        <v>9.8383696416022397E-3</v>
      </c>
    </row>
    <row r="1932" spans="1:5" x14ac:dyDescent="0.3">
      <c r="A1932" t="str">
        <f>HYPERLINK("https://anilist.co/staff/149214","Staff: Masanori Hayashi  (Animation Producer)")</f>
        <v>Staff: Masanori Hayashi  (Animation Producer)</v>
      </c>
      <c r="B1932" s="5">
        <v>70</v>
      </c>
      <c r="C1932" s="9">
        <v>1</v>
      </c>
      <c r="D1932" s="6">
        <v>1.4054813773717499E-4</v>
      </c>
      <c r="E1932" s="7">
        <v>9.8383696416022397E-3</v>
      </c>
    </row>
    <row r="1933" spans="1:5" x14ac:dyDescent="0.3">
      <c r="A1933" t="str">
        <f>HYPERLINK("https://anilist.co/staff/147305","Staff: Kunihiko Sakurai (Sub Character Design (ep 17))")</f>
        <v>Staff: Kunihiko Sakurai (Sub Character Design (ep 17))</v>
      </c>
      <c r="B1933" s="5">
        <v>70</v>
      </c>
      <c r="C1933" s="9">
        <v>1</v>
      </c>
      <c r="D1933" s="6">
        <v>1.4054813773717499E-4</v>
      </c>
      <c r="E1933" s="7">
        <v>9.8383696416022397E-3</v>
      </c>
    </row>
    <row r="1934" spans="1:5" x14ac:dyDescent="0.3">
      <c r="A1934" t="str">
        <f>HYPERLINK("https://anilist.co/staff/151523","Staff: Chie Yamashiro (Assistant Director)")</f>
        <v>Staff: Chie Yamashiro (Assistant Director)</v>
      </c>
      <c r="B1934" s="5">
        <v>70</v>
      </c>
      <c r="C1934" s="9">
        <v>1</v>
      </c>
      <c r="D1934" s="6">
        <v>1.4054813773717499E-4</v>
      </c>
      <c r="E1934" s="7">
        <v>9.8383696416022397E-3</v>
      </c>
    </row>
    <row r="1935" spans="1:5" x14ac:dyDescent="0.3">
      <c r="A1935" t="str">
        <f>HYPERLINK("https://anilist.co/staff/97377","Staff: Hitoshi Iwaaki (Original Creator)")</f>
        <v>Staff: Hitoshi Iwaaki (Original Creator)</v>
      </c>
      <c r="B1935" s="5">
        <v>70</v>
      </c>
      <c r="C1935" s="9">
        <v>1</v>
      </c>
      <c r="D1935" s="6">
        <v>1.4054813773717499E-4</v>
      </c>
      <c r="E1935" s="7">
        <v>9.8383696416022397E-3</v>
      </c>
    </row>
    <row r="1936" spans="1:5" x14ac:dyDescent="0.3">
      <c r="A1936" t="str">
        <f>HYPERLINK("https://anilist.co/staff/118442","Staff: Kenichi Kawamura (Assistant Director (eps 10, 13, 16, 22))")</f>
        <v>Staff: Kenichi Kawamura (Assistant Director (eps 10, 13, 16, 22))</v>
      </c>
      <c r="B1936" s="5">
        <v>70</v>
      </c>
      <c r="C1936" s="9">
        <v>1</v>
      </c>
      <c r="D1936" s="6">
        <v>1.4054813773717499E-4</v>
      </c>
      <c r="E1936" s="7">
        <v>9.8383696416022397E-3</v>
      </c>
    </row>
    <row r="1937" spans="1:5" x14ac:dyDescent="0.3">
      <c r="A1937" t="str">
        <f>HYPERLINK("https://anilist.co/staff/103184","Staff: Toshiyuki Komaru (Chief Animation Director (eps 1-24))")</f>
        <v>Staff: Toshiyuki Komaru (Chief Animation Director (eps 1-24))</v>
      </c>
      <c r="B1937" s="5">
        <v>70</v>
      </c>
      <c r="C1937" s="9">
        <v>1</v>
      </c>
      <c r="D1937" s="6">
        <v>1.4054813773717499E-4</v>
      </c>
      <c r="E1937" s="7">
        <v>9.8383696416022397E-3</v>
      </c>
    </row>
    <row r="1938" spans="1:5" x14ac:dyDescent="0.3">
      <c r="A1938" t="str">
        <f>HYPERLINK("https://anilist.co/staff/119190","Staff: Kenichi Shimizu (Director)")</f>
        <v>Staff: Kenichi Shimizu (Director)</v>
      </c>
      <c r="B1938" s="5">
        <v>70</v>
      </c>
      <c r="C1938" s="9">
        <v>1</v>
      </c>
      <c r="D1938" s="6">
        <v>1.4054813773717499E-4</v>
      </c>
      <c r="E1938" s="7">
        <v>9.8383696416022397E-3</v>
      </c>
    </row>
    <row r="1939" spans="1:5" x14ac:dyDescent="0.3">
      <c r="A1939" t="str">
        <f>HYPERLINK("https://anilist.co/staff/129974","Staff: Hitoshi Haga (Chief Animation Director (eps 1-24))")</f>
        <v>Staff: Hitoshi Haga (Chief Animation Director (eps 1-24))</v>
      </c>
      <c r="B1939" s="5">
        <v>70</v>
      </c>
      <c r="C1939" s="9">
        <v>1</v>
      </c>
      <c r="D1939" s="6">
        <v>1.4054813773717499E-4</v>
      </c>
      <c r="E1939" s="7">
        <v>9.8383696416022397E-3</v>
      </c>
    </row>
    <row r="1940" spans="1:5" x14ac:dyDescent="0.3">
      <c r="A1940" t="str">
        <f>HYPERLINK("https://anilist.co/staff/129974","Staff: Hitoshi Haga (Sub Character Design (eps 11, 15, 18, 22))")</f>
        <v>Staff: Hitoshi Haga (Sub Character Design (eps 11, 15, 18, 22))</v>
      </c>
      <c r="B1940" s="5">
        <v>70</v>
      </c>
      <c r="C1940" s="9">
        <v>1</v>
      </c>
      <c r="D1940" s="6">
        <v>1.4054813773717499E-4</v>
      </c>
      <c r="E1940" s="7">
        <v>9.8383696416022397E-3</v>
      </c>
    </row>
    <row r="1941" spans="1:5" x14ac:dyDescent="0.3">
      <c r="A1941" t="str">
        <f>HYPERLINK("https://anilist.co/staff/153877","Staff: Kazunari Sengoku (Music Producer)")</f>
        <v>Staff: Kazunari Sengoku (Music Producer)</v>
      </c>
      <c r="B1941" s="5">
        <v>70</v>
      </c>
      <c r="C1941" s="9">
        <v>1</v>
      </c>
      <c r="D1941" s="6">
        <v>1.4054813773717499E-4</v>
      </c>
      <c r="E1941" s="7">
        <v>9.8383696416022397E-3</v>
      </c>
    </row>
    <row r="1942" spans="1:5" x14ac:dyDescent="0.3">
      <c r="A1942" t="str">
        <f>HYPERLINK("https://anilist.co/staff/149481","Staff: Byeong-Gil Yang (Chief Animation Director (eps 1-24))")</f>
        <v>Staff: Byeong-Gil Yang (Chief Animation Director (eps 1-24))</v>
      </c>
      <c r="B1942" s="5">
        <v>70</v>
      </c>
      <c r="C1942" s="9">
        <v>1</v>
      </c>
      <c r="D1942" s="6">
        <v>1.4054813773717499E-4</v>
      </c>
      <c r="E1942" s="7">
        <v>9.8383696416022397E-3</v>
      </c>
    </row>
    <row r="1943" spans="1:5" x14ac:dyDescent="0.3">
      <c r="A1943" t="str">
        <f>HYPERLINK("https://anilist.co/staff/122263","Staff: Seita Horio (Original Creator)")</f>
        <v>Staff: Seita Horio (Original Creator)</v>
      </c>
      <c r="B1943" s="5">
        <v>70</v>
      </c>
      <c r="C1943" s="9">
        <v>1</v>
      </c>
      <c r="D1943" s="6">
        <v>1.4054813773717499E-4</v>
      </c>
      <c r="E1943" s="7">
        <v>9.8383696416022397E-3</v>
      </c>
    </row>
    <row r="1944" spans="1:5" x14ac:dyDescent="0.3">
      <c r="A1944" t="str">
        <f>HYPERLINK("https://anilist.co/staff/107683","Staff: Yoshimitsu Oohashi (Director)")</f>
        <v>Staff: Yoshimitsu Oohashi (Director)</v>
      </c>
      <c r="B1944" s="5">
        <v>70</v>
      </c>
      <c r="C1944" s="9">
        <v>1</v>
      </c>
      <c r="D1944" s="6">
        <v>1.4054813773717499E-4</v>
      </c>
      <c r="E1944" s="7">
        <v>9.8383696416022397E-3</v>
      </c>
    </row>
    <row r="1945" spans="1:5" x14ac:dyDescent="0.3">
      <c r="A1945" t="str">
        <f>HYPERLINK("https://anilist.co/staff/97415","Staff: Noboru Kimura (Series Composition)")</f>
        <v>Staff: Noboru Kimura (Series Composition)</v>
      </c>
      <c r="B1945" s="5">
        <v>70</v>
      </c>
      <c r="C1945" s="9">
        <v>1</v>
      </c>
      <c r="D1945" s="6">
        <v>1.4054813773717499E-4</v>
      </c>
      <c r="E1945" s="7">
        <v>9.8383696416022397E-3</v>
      </c>
    </row>
    <row r="1946" spans="1:5" x14ac:dyDescent="0.3">
      <c r="A1946" t="str">
        <f>HYPERLINK("https://anilist.co/staff/101583","Staff: Yasuomi Umetsu (Original Character Design)")</f>
        <v>Staff: Yasuomi Umetsu (Original Character Design)</v>
      </c>
      <c r="B1946" s="5">
        <v>70</v>
      </c>
      <c r="C1946" s="9">
        <v>1</v>
      </c>
      <c r="D1946" s="6">
        <v>1.4054813773717499E-4</v>
      </c>
      <c r="E1946" s="7">
        <v>9.8383696416022397E-3</v>
      </c>
    </row>
    <row r="1947" spans="1:5" x14ac:dyDescent="0.3">
      <c r="A1947" t="str">
        <f>HYPERLINK("https://anilist.co/staff/123908","Staff: Masaki Hinata (Character Design)")</f>
        <v>Staff: Masaki Hinata (Character Design)</v>
      </c>
      <c r="B1947" s="5">
        <v>70</v>
      </c>
      <c r="C1947" s="9">
        <v>1</v>
      </c>
      <c r="D1947" s="6">
        <v>1.4054813773717499E-4</v>
      </c>
      <c r="E1947" s="7">
        <v>9.8383696416022397E-3</v>
      </c>
    </row>
    <row r="1948" spans="1:5" x14ac:dyDescent="0.3">
      <c r="A1948" t="str">
        <f>HYPERLINK("https://anilist.co/staff/123908","Staff: Masaki Hinata (Chief Animation Director (ep 5))")</f>
        <v>Staff: Masaki Hinata (Chief Animation Director (ep 5))</v>
      </c>
      <c r="B1948" s="5">
        <v>70</v>
      </c>
      <c r="C1948" s="9">
        <v>1</v>
      </c>
      <c r="D1948" s="6">
        <v>1.4054813773717499E-4</v>
      </c>
      <c r="E1948" s="7">
        <v>9.8383696416022397E-3</v>
      </c>
    </row>
    <row r="1949" spans="1:5" x14ac:dyDescent="0.3">
      <c r="A1949" t="str">
        <f>HYPERLINK("https://anilist.co/staff/126639","Staff: MIYAVI  (Theme Song Performance (OP))")</f>
        <v>Staff: MIYAVI  (Theme Song Performance (OP))</v>
      </c>
      <c r="B1949" s="5">
        <v>70</v>
      </c>
      <c r="C1949" s="9">
        <v>1</v>
      </c>
      <c r="D1949" s="6">
        <v>1.4054813773717499E-4</v>
      </c>
      <c r="E1949" s="7">
        <v>9.8383696416022397E-3</v>
      </c>
    </row>
    <row r="1950" spans="1:5" x14ac:dyDescent="0.3">
      <c r="A1950" t="str">
        <f>HYPERLINK("https://anilist.co/staff/96215","Staff: Frank Schröder (ADR Director (German))")</f>
        <v>Staff: Frank Schröder (ADR Director (German))</v>
      </c>
      <c r="B1950" s="5">
        <v>70</v>
      </c>
      <c r="C1950" s="9">
        <v>1</v>
      </c>
      <c r="D1950" s="6">
        <v>1.4054813773717499E-4</v>
      </c>
      <c r="E1950" s="7">
        <v>9.8383696416022397E-3</v>
      </c>
    </row>
    <row r="1951" spans="1:5" x14ac:dyDescent="0.3">
      <c r="A1951" t="str">
        <f>HYPERLINK("https://anilist.co/staff/96215","Staff: Frank Schröder (Script (German))")</f>
        <v>Staff: Frank Schröder (Script (German))</v>
      </c>
      <c r="B1951" s="5">
        <v>70</v>
      </c>
      <c r="C1951" s="9">
        <v>1</v>
      </c>
      <c r="D1951" s="6">
        <v>1.4054813773717499E-4</v>
      </c>
      <c r="E1951" s="7">
        <v>9.8383696416022397E-3</v>
      </c>
    </row>
    <row r="1952" spans="1:5" x14ac:dyDescent="0.3">
      <c r="A1952" t="str">
        <f>HYPERLINK("https://anilist.co/staff/105834","Staff: Shinichi Inozume (Script (eps 4, 7, 9, 11))")</f>
        <v>Staff: Shinichi Inozume (Script (eps 4, 7, 9, 11))</v>
      </c>
      <c r="B1952" s="5">
        <v>70</v>
      </c>
      <c r="C1952" s="9">
        <v>1</v>
      </c>
      <c r="D1952" s="6">
        <v>1.4054813773717499E-4</v>
      </c>
      <c r="E1952" s="7">
        <v>9.8383696416022397E-3</v>
      </c>
    </row>
    <row r="1953" spans="1:5" x14ac:dyDescent="0.3">
      <c r="A1953" t="str">
        <f>HYPERLINK("https://anilist.co/staff/126639","Staff: MIYAVI  (Theme Song Arrangement (OP))")</f>
        <v>Staff: MIYAVI  (Theme Song Arrangement (OP))</v>
      </c>
      <c r="B1953" s="5">
        <v>70</v>
      </c>
      <c r="C1953" s="9">
        <v>1</v>
      </c>
      <c r="D1953" s="6">
        <v>1.4054813773717499E-4</v>
      </c>
      <c r="E1953" s="7">
        <v>9.8383696416022397E-3</v>
      </c>
    </row>
    <row r="1954" spans="1:5" x14ac:dyDescent="0.3">
      <c r="A1954" t="str">
        <f>HYPERLINK("https://anilist.co/staff/97415","Staff: Noboru Kimura (Script (eps 1-3, 8, 10, 12))")</f>
        <v>Staff: Noboru Kimura (Script (eps 1-3, 8, 10, 12))</v>
      </c>
      <c r="B1954" s="5">
        <v>70</v>
      </c>
      <c r="C1954" s="9">
        <v>1</v>
      </c>
      <c r="D1954" s="6">
        <v>1.4054813773717499E-4</v>
      </c>
      <c r="E1954" s="7">
        <v>9.8383696416022397E-3</v>
      </c>
    </row>
    <row r="1955" spans="1:5" x14ac:dyDescent="0.3">
      <c r="A1955" t="str">
        <f>HYPERLINK("https://anilist.co/staff/126639","Staff: MIYAVI  (Theme Song Lyrics (OP))")</f>
        <v>Staff: MIYAVI  (Theme Song Lyrics (OP))</v>
      </c>
      <c r="B1955" s="5">
        <v>70</v>
      </c>
      <c r="C1955" s="9">
        <v>1</v>
      </c>
      <c r="D1955" s="6">
        <v>1.4054813773717499E-4</v>
      </c>
      <c r="E1955" s="7">
        <v>9.8383696416022397E-3</v>
      </c>
    </row>
    <row r="1956" spans="1:5" x14ac:dyDescent="0.3">
      <c r="A1956" t="str">
        <f>HYPERLINK("https://anilist.co/staff/126639","Staff: MIYAVI  (Theme Song Composition (OP))")</f>
        <v>Staff: MIYAVI  (Theme Song Composition (OP))</v>
      </c>
      <c r="B1956" s="5">
        <v>70</v>
      </c>
      <c r="C1956" s="9">
        <v>1</v>
      </c>
      <c r="D1956" s="6">
        <v>1.4054813773717499E-4</v>
      </c>
      <c r="E1956" s="7">
        <v>9.8383696416022397E-3</v>
      </c>
    </row>
    <row r="1957" spans="1:5" x14ac:dyDescent="0.3">
      <c r="A1957" t="str">
        <f>HYPERLINK("https://anilist.co/staff/119447","Staff: Seiko Takagi (Script (eps 5-6))")</f>
        <v>Staff: Seiko Takagi (Script (eps 5-6))</v>
      </c>
      <c r="B1957" s="5">
        <v>70</v>
      </c>
      <c r="C1957" s="9">
        <v>1</v>
      </c>
      <c r="D1957" s="6">
        <v>1.4054813773717499E-4</v>
      </c>
      <c r="E1957" s="7">
        <v>9.8383696416022397E-3</v>
      </c>
    </row>
    <row r="1958" spans="1:5" x14ac:dyDescent="0.3">
      <c r="A1958" t="str">
        <f>HYPERLINK("https://anilist.co/staff/104777","Staff: David Wald (ADR Director (English))")</f>
        <v>Staff: David Wald (ADR Director (English))</v>
      </c>
      <c r="B1958" s="5">
        <v>70</v>
      </c>
      <c r="C1958" s="9">
        <v>1</v>
      </c>
      <c r="D1958" s="6">
        <v>1.4054813773717499E-4</v>
      </c>
      <c r="E1958" s="7">
        <v>9.8383696416022397E-3</v>
      </c>
    </row>
    <row r="1959" spans="1:5" x14ac:dyDescent="0.3">
      <c r="A1959" t="str">
        <f>HYPERLINK("https://anilist.co/staff/101583","Staff: Yasuomi Umetsu (Key Animation (ED))")</f>
        <v>Staff: Yasuomi Umetsu (Key Animation (ED))</v>
      </c>
      <c r="B1959" s="5">
        <v>70</v>
      </c>
      <c r="C1959" s="9">
        <v>1</v>
      </c>
      <c r="D1959" s="6">
        <v>1.4054813773717499E-4</v>
      </c>
      <c r="E1959" s="7">
        <v>9.8383696416022397E-3</v>
      </c>
    </row>
    <row r="1960" spans="1:5" x14ac:dyDescent="0.3">
      <c r="A1960" t="str">
        <f>HYPERLINK("https://anilist.co/staff/101583","Staff: Yasuomi Umetsu (Episode Director (ED))")</f>
        <v>Staff: Yasuomi Umetsu (Episode Director (ED))</v>
      </c>
      <c r="B1960" s="5">
        <v>70</v>
      </c>
      <c r="C1960" s="9">
        <v>1</v>
      </c>
      <c r="D1960" s="6">
        <v>1.4054813773717499E-4</v>
      </c>
      <c r="E1960" s="7">
        <v>9.8383696416022397E-3</v>
      </c>
    </row>
    <row r="1961" spans="1:5" x14ac:dyDescent="0.3">
      <c r="A1961" t="str">
        <f>HYPERLINK("https://anilist.co/staff/101583","Staff: Yasuomi Umetsu (Storyboard (ED))")</f>
        <v>Staff: Yasuomi Umetsu (Storyboard (ED))</v>
      </c>
      <c r="B1961" s="5">
        <v>70</v>
      </c>
      <c r="C1961" s="9">
        <v>1</v>
      </c>
      <c r="D1961" s="6">
        <v>1.4054813773717499E-4</v>
      </c>
      <c r="E1961" s="7">
        <v>9.8383696416022397E-3</v>
      </c>
    </row>
    <row r="1962" spans="1:5" x14ac:dyDescent="0.3">
      <c r="A1962" t="str">
        <f>HYPERLINK("https://anilist.co/staff/118712","Staff: Cool-kyou Shinja  (Original Creator)")</f>
        <v>Staff: Cool-kyou Shinja  (Original Creator)</v>
      </c>
      <c r="B1962" s="5">
        <v>70</v>
      </c>
      <c r="C1962" s="9">
        <v>1</v>
      </c>
      <c r="D1962" s="6">
        <v>1.4054813773717499E-4</v>
      </c>
      <c r="E1962" s="7">
        <v>9.8383696416022397E-3</v>
      </c>
    </row>
    <row r="1963" spans="1:5" x14ac:dyDescent="0.3">
      <c r="A1963" t="str">
        <f>HYPERLINK("https://anilist.co/staff/111373","Staff: Kenichi Imaizumi (Director)")</f>
        <v>Staff: Kenichi Imaizumi (Director)</v>
      </c>
      <c r="B1963" s="5">
        <v>70</v>
      </c>
      <c r="C1963" s="9">
        <v>1</v>
      </c>
      <c r="D1963" s="6">
        <v>1.4054813773717499E-4</v>
      </c>
      <c r="E1963" s="7">
        <v>9.8383696416022397E-3</v>
      </c>
    </row>
    <row r="1964" spans="1:5" x14ac:dyDescent="0.3">
      <c r="A1964" t="str">
        <f>HYPERLINK("https://anilist.co/staff/118781","Staff: Yurie Kuniyuki (Character Design)")</f>
        <v>Staff: Yurie Kuniyuki (Character Design)</v>
      </c>
      <c r="B1964" s="5">
        <v>70</v>
      </c>
      <c r="C1964" s="9">
        <v>1</v>
      </c>
      <c r="D1964" s="6">
        <v>1.4054813773717499E-4</v>
      </c>
      <c r="E1964" s="7">
        <v>9.8383696416022397E-3</v>
      </c>
    </row>
    <row r="1965" spans="1:5" x14ac:dyDescent="0.3">
      <c r="A1965" t="str">
        <f>HYPERLINK("https://anilist.co/staff/118781","Staff: Yurie Kuniyuki (Chief Animation Director)")</f>
        <v>Staff: Yurie Kuniyuki (Chief Animation Director)</v>
      </c>
      <c r="B1965" s="5">
        <v>70</v>
      </c>
      <c r="C1965" s="9">
        <v>1</v>
      </c>
      <c r="D1965" s="6">
        <v>1.4054813773717499E-4</v>
      </c>
      <c r="E1965" s="7">
        <v>9.8383696416022397E-3</v>
      </c>
    </row>
    <row r="1966" spans="1:5" x14ac:dyDescent="0.3">
      <c r="A1966" t="str">
        <f>HYPERLINK("https://anilist.co/staff/132702","Staff: Yukari Yasuda (Art Director)")</f>
        <v>Staff: Yukari Yasuda (Art Director)</v>
      </c>
      <c r="B1966" s="5">
        <v>70</v>
      </c>
      <c r="C1966" s="9">
        <v>1</v>
      </c>
      <c r="D1966" s="6">
        <v>1.4054813773717499E-4</v>
      </c>
      <c r="E1966" s="7">
        <v>9.8383696416022397E-3</v>
      </c>
    </row>
    <row r="1967" spans="1:5" x14ac:dyDescent="0.3">
      <c r="A1967" t="str">
        <f>HYPERLINK("https://anilist.co/staff/108095","Staff: Muru Imigi (Original Creator)")</f>
        <v>Staff: Muru Imigi (Original Creator)</v>
      </c>
      <c r="B1967" s="5">
        <v>70</v>
      </c>
      <c r="C1967" s="9">
        <v>1</v>
      </c>
      <c r="D1967" s="6">
        <v>1.4054813773717499E-4</v>
      </c>
      <c r="E1967" s="7">
        <v>9.8383696416022397E-3</v>
      </c>
    </row>
    <row r="1968" spans="1:5" x14ac:dyDescent="0.3">
      <c r="A1968" t="str">
        <f>HYPERLINK("https://anilist.co/staff/103975","Staff: Mai Ootsuka (Character Design)")</f>
        <v>Staff: Mai Ootsuka (Character Design)</v>
      </c>
      <c r="B1968" s="5">
        <v>70</v>
      </c>
      <c r="C1968" s="9">
        <v>1</v>
      </c>
      <c r="D1968" s="6">
        <v>1.4054813773717499E-4</v>
      </c>
      <c r="E1968" s="7">
        <v>9.8383696416022397E-3</v>
      </c>
    </row>
    <row r="1969" spans="1:5" x14ac:dyDescent="0.3">
      <c r="A1969" t="str">
        <f>HYPERLINK("https://anilist.co/staff/95081","Staff: Nana Mizuki (Theme Song Performance (OP, ED: ep 12))")</f>
        <v>Staff: Nana Mizuki (Theme Song Performance (OP, ED: ep 12))</v>
      </c>
      <c r="B1969" s="5">
        <v>70</v>
      </c>
      <c r="C1969" s="9">
        <v>1</v>
      </c>
      <c r="D1969" s="6">
        <v>1.4054813773717499E-4</v>
      </c>
      <c r="E1969" s="7">
        <v>9.8383696416022397E-3</v>
      </c>
    </row>
    <row r="1970" spans="1:5" x14ac:dyDescent="0.3">
      <c r="A1970" t="str">
        <f>HYPERLINK("https://anilist.co/staff/109439","Staff: Naruhisa Arakawa (Series Composition)")</f>
        <v>Staff: Naruhisa Arakawa (Series Composition)</v>
      </c>
      <c r="B1970" s="5">
        <v>70</v>
      </c>
      <c r="C1970" s="9">
        <v>1</v>
      </c>
      <c r="D1970" s="6">
        <v>1.4054813773717499E-4</v>
      </c>
      <c r="E1970" s="7">
        <v>9.8383696416022397E-3</v>
      </c>
    </row>
    <row r="1971" spans="1:5" x14ac:dyDescent="0.3">
      <c r="A1971" t="str">
        <f>HYPERLINK("https://anilist.co/staff/109441","Staff: Sumire Uesaka (Theme Song Performance (ED1, ED: ep 12))")</f>
        <v>Staff: Sumire Uesaka (Theme Song Performance (ED1, ED: ep 12))</v>
      </c>
      <c r="B1971" s="5">
        <v>70</v>
      </c>
      <c r="C1971" s="9">
        <v>1</v>
      </c>
      <c r="D1971" s="6">
        <v>1.4054813773717499E-4</v>
      </c>
      <c r="E1971" s="7">
        <v>9.8383696416022397E-3</v>
      </c>
    </row>
    <row r="1972" spans="1:5" x14ac:dyDescent="0.3">
      <c r="A1972" t="str">
        <f>HYPERLINK("https://anilist.co/staff/121678","Staff: Takayuki Noguchi (Key Animation (eps 5, 9, 11))")</f>
        <v>Staff: Takayuki Noguchi (Key Animation (eps 5, 9, 11))</v>
      </c>
      <c r="B1972" s="5">
        <v>70</v>
      </c>
      <c r="C1972" s="9">
        <v>1</v>
      </c>
      <c r="D1972" s="6">
        <v>1.4054813773717499E-4</v>
      </c>
      <c r="E1972" s="7">
        <v>9.8383696416022397E-3</v>
      </c>
    </row>
    <row r="1973" spans="1:5" x14ac:dyDescent="0.3">
      <c r="A1973" t="str">
        <f>HYPERLINK("https://anilist.co/staff/121966","Staff: Yuka Kazama (Sound Effects)")</f>
        <v>Staff: Yuka Kazama (Sound Effects)</v>
      </c>
      <c r="B1973" s="5">
        <v>70</v>
      </c>
      <c r="C1973" s="9">
        <v>1</v>
      </c>
      <c r="D1973" s="6">
        <v>1.4054813773717499E-4</v>
      </c>
      <c r="E1973" s="7">
        <v>9.8383696416022397E-3</v>
      </c>
    </row>
    <row r="1974" spans="1:5" x14ac:dyDescent="0.3">
      <c r="A1974" t="str">
        <f>HYPERLINK("https://anilist.co/staff/144387","Staff:  TECHNOBOYS PULCRAFT GREEN-FUND (Theme Song Lyrics (ED1))")</f>
        <v>Staff:  TECHNOBOYS PULCRAFT GREEN-FUND (Theme Song Lyrics (ED1))</v>
      </c>
      <c r="B1974" s="5">
        <v>70</v>
      </c>
      <c r="C1974" s="9">
        <v>1</v>
      </c>
      <c r="D1974" s="6">
        <v>1.4054813773717499E-4</v>
      </c>
      <c r="E1974" s="7">
        <v>9.8383696416022397E-3</v>
      </c>
    </row>
    <row r="1975" spans="1:5" x14ac:dyDescent="0.3">
      <c r="A1975" t="str">
        <f>HYPERLINK("https://anilist.co/staff/144387","Staff:  TECHNOBOYS PULCRAFT GREEN-FUND (Theme Song Arrangement (ED1))")</f>
        <v>Staff:  TECHNOBOYS PULCRAFT GREEN-FUND (Theme Song Arrangement (ED1))</v>
      </c>
      <c r="B1975" s="5">
        <v>70</v>
      </c>
      <c r="C1975" s="9">
        <v>1</v>
      </c>
      <c r="D1975" s="6">
        <v>1.4054813773717499E-4</v>
      </c>
      <c r="E1975" s="7">
        <v>9.8383696416022397E-3</v>
      </c>
    </row>
    <row r="1976" spans="1:5" x14ac:dyDescent="0.3">
      <c r="A1976" t="str">
        <f>HYPERLINK("https://anilist.co/staff/144387","Staff:  TECHNOBOYS PULCRAFT GREEN-FUND (Theme Song Composition (ED1))")</f>
        <v>Staff:  TECHNOBOYS PULCRAFT GREEN-FUND (Theme Song Composition (ED1))</v>
      </c>
      <c r="B1976" s="5">
        <v>70</v>
      </c>
      <c r="C1976" s="9">
        <v>1</v>
      </c>
      <c r="D1976" s="6">
        <v>1.4054813773717499E-4</v>
      </c>
      <c r="E1976" s="7">
        <v>9.8383696416022397E-3</v>
      </c>
    </row>
    <row r="1977" spans="1:5" x14ac:dyDescent="0.3">
      <c r="A1977" t="str">
        <f>HYPERLINK("https://anilist.co/staff/95081","Staff: Nana Mizuki (Theme Song Lyrics (OP))")</f>
        <v>Staff: Nana Mizuki (Theme Song Lyrics (OP))</v>
      </c>
      <c r="B1977" s="5">
        <v>70</v>
      </c>
      <c r="C1977" s="9">
        <v>1</v>
      </c>
      <c r="D1977" s="6">
        <v>1.4054813773717499E-4</v>
      </c>
      <c r="E1977" s="7">
        <v>9.8383696416022397E-3</v>
      </c>
    </row>
    <row r="1978" spans="1:5" x14ac:dyDescent="0.3">
      <c r="A1978" t="str">
        <f>HYPERLINK("https://anilist.co/staff/110557","Staff: Junpei Fujita (Theme Song Arrangement (OP))")</f>
        <v>Staff: Junpei Fujita (Theme Song Arrangement (OP))</v>
      </c>
      <c r="B1978" s="5">
        <v>70</v>
      </c>
      <c r="C1978" s="9">
        <v>1</v>
      </c>
      <c r="D1978" s="6">
        <v>1.4054813773717499E-4</v>
      </c>
      <c r="E1978" s="7">
        <v>9.8383696416022397E-3</v>
      </c>
    </row>
    <row r="1979" spans="1:5" x14ac:dyDescent="0.3">
      <c r="A1979" t="str">
        <f>HYPERLINK("https://anilist.co/staff/170485","Staff: Takuya Fujita (Theme Song Composition (OP))")</f>
        <v>Staff: Takuya Fujita (Theme Song Composition (OP))</v>
      </c>
      <c r="B1979" s="5">
        <v>70</v>
      </c>
      <c r="C1979" s="9">
        <v>1</v>
      </c>
      <c r="D1979" s="6">
        <v>1.4054813773717499E-4</v>
      </c>
      <c r="E1979" s="7">
        <v>9.8383696416022397E-3</v>
      </c>
    </row>
    <row r="1980" spans="1:5" x14ac:dyDescent="0.3">
      <c r="A1980" t="str">
        <f>HYPERLINK("https://anilist.co/staff/118663","Staff: Ari Ozawa (Theme Song Performance (ED: ep 12))")</f>
        <v>Staff: Ari Ozawa (Theme Song Performance (ED: ep 12))</v>
      </c>
      <c r="B1980" s="5">
        <v>70</v>
      </c>
      <c r="C1980" s="9">
        <v>1</v>
      </c>
      <c r="D1980" s="6">
        <v>1.4054813773717499E-4</v>
      </c>
      <c r="E1980" s="7">
        <v>9.8383696416022397E-3</v>
      </c>
    </row>
    <row r="1981" spans="1:5" x14ac:dyDescent="0.3">
      <c r="A1981" t="str">
        <f>HYPERLINK("https://anilist.co/staff/106184","Staff: Nao Touyama (Theme Song Performance (ED: ep 12))")</f>
        <v>Staff: Nao Touyama (Theme Song Performance (ED: ep 12))</v>
      </c>
      <c r="B1981" s="5">
        <v>70</v>
      </c>
      <c r="C1981" s="9">
        <v>1</v>
      </c>
      <c r="D1981" s="6">
        <v>1.4054813773717499E-4</v>
      </c>
      <c r="E1981" s="7">
        <v>9.8383696416022397E-3</v>
      </c>
    </row>
    <row r="1982" spans="1:5" x14ac:dyDescent="0.3">
      <c r="A1982" t="str">
        <f>HYPERLINK("https://anilist.co/staff/117359","Staff: 40mP  (Theme Song Lyrics (ED: ep 12))")</f>
        <v>Staff: 40mP  (Theme Song Lyrics (ED: ep 12))</v>
      </c>
      <c r="B1982" s="5">
        <v>70</v>
      </c>
      <c r="C1982" s="9">
        <v>1</v>
      </c>
      <c r="D1982" s="6">
        <v>1.4054813773717499E-4</v>
      </c>
      <c r="E1982" s="7">
        <v>9.8383696416022397E-3</v>
      </c>
    </row>
    <row r="1983" spans="1:5" x14ac:dyDescent="0.3">
      <c r="A1983" t="str">
        <f>HYPERLINK("https://anilist.co/staff/117359","Staff: 40mP  (Theme Song Composition (ED: ep 12))")</f>
        <v>Staff: 40mP  (Theme Song Composition (ED: ep 12))</v>
      </c>
      <c r="B1983" s="5">
        <v>70</v>
      </c>
      <c r="C1983" s="9">
        <v>1</v>
      </c>
      <c r="D1983" s="6">
        <v>1.4054813773717499E-4</v>
      </c>
      <c r="E1983" s="7">
        <v>9.8383696416022397E-3</v>
      </c>
    </row>
    <row r="1984" spans="1:5" x14ac:dyDescent="0.3">
      <c r="A1984" t="str">
        <f>HYPERLINK("https://anilist.co/staff/117359","Staff: 40mP  (Theme Song Arrangement (ED: ep 12))")</f>
        <v>Staff: 40mP  (Theme Song Arrangement (ED: ep 12))</v>
      </c>
      <c r="B1984" s="5">
        <v>70</v>
      </c>
      <c r="C1984" s="9">
        <v>1</v>
      </c>
      <c r="D1984" s="6">
        <v>1.4054813773717499E-4</v>
      </c>
      <c r="E1984" s="7">
        <v>9.8383696416022397E-3</v>
      </c>
    </row>
    <row r="1985" spans="1:5" x14ac:dyDescent="0.3">
      <c r="A1985" t="str">
        <f>HYPERLINK("https://anilist.co/staff/109441","Staff: Sumire Uesaka (Insert Song Performance (ep 5))")</f>
        <v>Staff: Sumire Uesaka (Insert Song Performance (ep 5))</v>
      </c>
      <c r="B1985" s="5">
        <v>70</v>
      </c>
      <c r="C1985" s="9">
        <v>1</v>
      </c>
      <c r="D1985" s="6">
        <v>1.4054813773717499E-4</v>
      </c>
      <c r="E1985" s="7">
        <v>9.8383696416022397E-3</v>
      </c>
    </row>
    <row r="1986" spans="1:5" x14ac:dyDescent="0.3">
      <c r="A1986" t="str">
        <f>HYPERLINK("https://anilist.co/staff/117359","Staff: 40mP  (Insert Song Lyrics (eps 5, 11))")</f>
        <v>Staff: 40mP  (Insert Song Lyrics (eps 5, 11))</v>
      </c>
      <c r="B1986" s="5">
        <v>70</v>
      </c>
      <c r="C1986" s="9">
        <v>1</v>
      </c>
      <c r="D1986" s="6">
        <v>1.4054813773717499E-4</v>
      </c>
      <c r="E1986" s="7">
        <v>9.8383696416022397E-3</v>
      </c>
    </row>
    <row r="1987" spans="1:5" x14ac:dyDescent="0.3">
      <c r="A1987" t="str">
        <f>HYPERLINK("https://anilist.co/staff/95081","Staff: Nana Mizuki (Insert Song Performance (ep 5))")</f>
        <v>Staff: Nana Mizuki (Insert Song Performance (ep 5))</v>
      </c>
      <c r="B1987" s="5">
        <v>70</v>
      </c>
      <c r="C1987" s="9">
        <v>1</v>
      </c>
      <c r="D1987" s="6">
        <v>1.4054813773717499E-4</v>
      </c>
      <c r="E1987" s="7">
        <v>9.8383696416022397E-3</v>
      </c>
    </row>
    <row r="1988" spans="1:5" x14ac:dyDescent="0.3">
      <c r="A1988" t="str">
        <f>HYPERLINK("https://anilist.co/staff/117359","Staff: 40mP  (Insert Song Arrangement (eps 5, 11))")</f>
        <v>Staff: 40mP  (Insert Song Arrangement (eps 5, 11))</v>
      </c>
      <c r="B1988" s="5">
        <v>70</v>
      </c>
      <c r="C1988" s="9">
        <v>1</v>
      </c>
      <c r="D1988" s="6">
        <v>1.4054813773717499E-4</v>
      </c>
      <c r="E1988" s="7">
        <v>9.8383696416022397E-3</v>
      </c>
    </row>
    <row r="1989" spans="1:5" x14ac:dyDescent="0.3">
      <c r="A1989" t="str">
        <f>HYPERLINK("https://anilist.co/staff/119410","Staff: Akihito Tsukushi (Original Creator)")</f>
        <v>Staff: Akihito Tsukushi (Original Creator)</v>
      </c>
      <c r="B1989" s="5">
        <v>70</v>
      </c>
      <c r="C1989" s="9">
        <v>1</v>
      </c>
      <c r="D1989" s="6">
        <v>1.4054813773717499E-4</v>
      </c>
      <c r="E1989" s="7">
        <v>9.8383696416022397E-3</v>
      </c>
    </row>
    <row r="1990" spans="1:5" x14ac:dyDescent="0.3">
      <c r="A1990" t="str">
        <f>HYPERLINK("https://anilist.co/staff/106507","Staff: Masayuki Kojima (Director)")</f>
        <v>Staff: Masayuki Kojima (Director)</v>
      </c>
      <c r="B1990" s="5">
        <v>70</v>
      </c>
      <c r="C1990" s="9">
        <v>1</v>
      </c>
      <c r="D1990" s="6">
        <v>1.4054813773717499E-4</v>
      </c>
      <c r="E1990" s="7">
        <v>9.8383696416022397E-3</v>
      </c>
    </row>
    <row r="1991" spans="1:5" x14ac:dyDescent="0.3">
      <c r="A1991" t="str">
        <f>HYPERLINK("https://anilist.co/staff/115781","Staff: Kazuchika Kise (Character Design)")</f>
        <v>Staff: Kazuchika Kise (Character Design)</v>
      </c>
      <c r="B1991" s="5">
        <v>70</v>
      </c>
      <c r="C1991" s="9">
        <v>1</v>
      </c>
      <c r="D1991" s="6">
        <v>1.4054813773717499E-4</v>
      </c>
      <c r="E1991" s="7">
        <v>9.8383696416022397E-3</v>
      </c>
    </row>
    <row r="1992" spans="1:5" x14ac:dyDescent="0.3">
      <c r="A1992" t="str">
        <f>HYPERLINK("https://anilist.co/staff/96967","Staff: Hideyuki Kurata (Script (eps 1-3, 7-9, 13))")</f>
        <v>Staff: Hideyuki Kurata (Script (eps 1-3, 7-9, 13))</v>
      </c>
      <c r="B1992" s="5">
        <v>70</v>
      </c>
      <c r="C1992" s="9">
        <v>1</v>
      </c>
      <c r="D1992" s="6">
        <v>1.4054813773717499E-4</v>
      </c>
      <c r="E1992" s="7">
        <v>9.8383696416022397E-3</v>
      </c>
    </row>
    <row r="1993" spans="1:5" x14ac:dyDescent="0.3">
      <c r="A1993" t="str">
        <f>HYPERLINK("https://anilist.co/staff/115781","Staff: Kazuchika Kise (Animation Director (ep 1))")</f>
        <v>Staff: Kazuchika Kise (Animation Director (ep 1))</v>
      </c>
      <c r="B1993" s="5">
        <v>70</v>
      </c>
      <c r="C1993" s="9">
        <v>1</v>
      </c>
      <c r="D1993" s="6">
        <v>1.4054813773717499E-4</v>
      </c>
      <c r="E1993" s="7">
        <v>9.8383696416022397E-3</v>
      </c>
    </row>
    <row r="1994" spans="1:5" x14ac:dyDescent="0.3">
      <c r="A1994" t="str">
        <f>HYPERLINK("https://anilist.co/staff/121793","Staff: Shinya Iino (Assistant Director)")</f>
        <v>Staff: Shinya Iino (Assistant Director)</v>
      </c>
      <c r="B1994" s="5">
        <v>70</v>
      </c>
      <c r="C1994" s="9">
        <v>1</v>
      </c>
      <c r="D1994" s="6">
        <v>1.4054813773717499E-4</v>
      </c>
      <c r="E1994" s="7">
        <v>9.8383696416022397E-3</v>
      </c>
    </row>
    <row r="1995" spans="1:5" x14ac:dyDescent="0.3">
      <c r="A1995" t="str">
        <f>HYPERLINK("https://anilist.co/staff/121796","Staff: Kevin Penkin (Music)")</f>
        <v>Staff: Kevin Penkin (Music)</v>
      </c>
      <c r="B1995" s="5">
        <v>70</v>
      </c>
      <c r="C1995" s="9">
        <v>1</v>
      </c>
      <c r="D1995" s="6">
        <v>1.4054813773717499E-4</v>
      </c>
      <c r="E1995" s="7">
        <v>9.8383696416022397E-3</v>
      </c>
    </row>
    <row r="1996" spans="1:5" x14ac:dyDescent="0.3">
      <c r="A1996" t="str">
        <f>HYPERLINK("https://anilist.co/staff/121797","Staff: Osamu Masuyama (Art Director)")</f>
        <v>Staff: Osamu Masuyama (Art Director)</v>
      </c>
      <c r="B1996" s="5">
        <v>70</v>
      </c>
      <c r="C1996" s="9">
        <v>1</v>
      </c>
      <c r="D1996" s="6">
        <v>1.4054813773717499E-4</v>
      </c>
      <c r="E1996" s="7">
        <v>9.8383696416022397E-3</v>
      </c>
    </row>
    <row r="1997" spans="1:5" x14ac:dyDescent="0.3">
      <c r="A1997" t="str">
        <f>HYPERLINK("https://anilist.co/staff/121798","Staff: Keigo Koyanagi (Script (eps 4-6, 10-12))")</f>
        <v>Staff: Keigo Koyanagi (Script (eps 4-6, 10-12))</v>
      </c>
      <c r="B1997" s="5">
        <v>70</v>
      </c>
      <c r="C1997" s="9">
        <v>1</v>
      </c>
      <c r="D1997" s="6">
        <v>1.4054813773717499E-4</v>
      </c>
      <c r="E1997" s="7">
        <v>9.8383696416022397E-3</v>
      </c>
    </row>
    <row r="1998" spans="1:5" x14ac:dyDescent="0.3">
      <c r="A1998" t="str">
        <f>HYPERLINK("https://anilist.co/staff/95655","Staff: Mariya Ise (Theme Song Performance (OP, ED1-ED3))")</f>
        <v>Staff: Mariya Ise (Theme Song Performance (OP, ED1-ED3))</v>
      </c>
      <c r="B1998" s="5">
        <v>70</v>
      </c>
      <c r="C1998" s="9">
        <v>1</v>
      </c>
      <c r="D1998" s="6">
        <v>1.4054813773717499E-4</v>
      </c>
      <c r="E1998" s="7">
        <v>9.8383696416022397E-3</v>
      </c>
    </row>
    <row r="1999" spans="1:5" x14ac:dyDescent="0.3">
      <c r="A1999" t="str">
        <f>HYPERLINK("https://anilist.co/staff/119518","Staff: Miyu Tomita (Theme Song Performance (OP, ED1-ED3))")</f>
        <v>Staff: Miyu Tomita (Theme Song Performance (OP, ED1-ED3))</v>
      </c>
      <c r="B1999" s="5">
        <v>70</v>
      </c>
      <c r="C1999" s="9">
        <v>1</v>
      </c>
      <c r="D1999" s="6">
        <v>1.4054813773717499E-4</v>
      </c>
      <c r="E1999" s="7">
        <v>9.8383696416022397E-3</v>
      </c>
    </row>
    <row r="2000" spans="1:5" x14ac:dyDescent="0.3">
      <c r="A2000" t="str">
        <f>HYPERLINK("https://anilist.co/staff/111453","Staff: Shiori Izawa (Theme Song Performance (ED3))")</f>
        <v>Staff: Shiori Izawa (Theme Song Performance (ED3))</v>
      </c>
      <c r="B2000" s="5">
        <v>70</v>
      </c>
      <c r="C2000" s="9">
        <v>1</v>
      </c>
      <c r="D2000" s="6">
        <v>1.4054813773717499E-4</v>
      </c>
      <c r="E2000" s="7">
        <v>9.8383696416022397E-3</v>
      </c>
    </row>
    <row r="2001" spans="1:5" x14ac:dyDescent="0.3">
      <c r="A2001" t="str">
        <f>HYPERLINK("https://anilist.co/staff/102136","Staff: Kou Yoshinari (Biological Design)")</f>
        <v>Staff: Kou Yoshinari (Biological Design)</v>
      </c>
      <c r="B2001" s="5">
        <v>70</v>
      </c>
      <c r="C2001" s="9">
        <v>1</v>
      </c>
      <c r="D2001" s="6">
        <v>1.4054813773717499E-4</v>
      </c>
      <c r="E2001" s="7">
        <v>9.8383696416022397E-3</v>
      </c>
    </row>
    <row r="2002" spans="1:5" x14ac:dyDescent="0.3">
      <c r="A2002" t="str">
        <f>HYPERLINK("https://anilist.co/staff/123423","Staff: Shouko Yasuda (Animation Director (eps 6, 9))")</f>
        <v>Staff: Shouko Yasuda (Animation Director (eps 6, 9))</v>
      </c>
      <c r="B2002" s="5">
        <v>70</v>
      </c>
      <c r="C2002" s="9">
        <v>1</v>
      </c>
      <c r="D2002" s="6">
        <v>1.4054813773717499E-4</v>
      </c>
      <c r="E2002" s="7">
        <v>9.8383696416022397E-3</v>
      </c>
    </row>
    <row r="2003" spans="1:5" x14ac:dyDescent="0.3">
      <c r="A2003" t="str">
        <f>HYPERLINK("https://anilist.co/staff/106507","Staff: Masayuki Kojima (Storyboard (eps 1-3, 5, 8-10, 12, 13))")</f>
        <v>Staff: Masayuki Kojima (Storyboard (eps 1-3, 5, 8-10, 12, 13))</v>
      </c>
      <c r="B2003" s="5">
        <v>70</v>
      </c>
      <c r="C2003" s="9">
        <v>1</v>
      </c>
      <c r="D2003" s="6">
        <v>1.4054813773717499E-4</v>
      </c>
      <c r="E2003" s="7">
        <v>9.8383696416022397E-3</v>
      </c>
    </row>
    <row r="2004" spans="1:5" x14ac:dyDescent="0.3">
      <c r="A2004" t="str">
        <f>HYPERLINK("https://anilist.co/staff/122859","Staff: Takao Abo (Storyboard (eps 6, 7, 11))")</f>
        <v>Staff: Takao Abo (Storyboard (eps 6, 7, 11))</v>
      </c>
      <c r="B2004" s="5">
        <v>70</v>
      </c>
      <c r="C2004" s="9">
        <v>1</v>
      </c>
      <c r="D2004" s="6">
        <v>1.4054813773717499E-4</v>
      </c>
      <c r="E2004" s="7">
        <v>9.8383696416022397E-3</v>
      </c>
    </row>
    <row r="2005" spans="1:5" x14ac:dyDescent="0.3">
      <c r="A2005" t="str">
        <f>HYPERLINK("https://anilist.co/staff/121793","Staff: Shinya Iino (Storyboard (eps 4, 11))")</f>
        <v>Staff: Shinya Iino (Storyboard (eps 4, 11))</v>
      </c>
      <c r="B2005" s="5">
        <v>70</v>
      </c>
      <c r="C2005" s="9">
        <v>1</v>
      </c>
      <c r="D2005" s="6">
        <v>1.4054813773717499E-4</v>
      </c>
      <c r="E2005" s="7">
        <v>9.8383696416022397E-3</v>
      </c>
    </row>
    <row r="2006" spans="1:5" x14ac:dyDescent="0.3">
      <c r="A2006" t="str">
        <f>HYPERLINK("https://anilist.co/staff/118418","Staff: Satoshi Mori (Episode Director (eps 2, 13))")</f>
        <v>Staff: Satoshi Mori (Episode Director (eps 2, 13))</v>
      </c>
      <c r="B2006" s="5">
        <v>70</v>
      </c>
      <c r="C2006" s="9">
        <v>1</v>
      </c>
      <c r="D2006" s="6">
        <v>1.4054813773717499E-4</v>
      </c>
      <c r="E2006" s="7">
        <v>9.8383696416022397E-3</v>
      </c>
    </row>
    <row r="2007" spans="1:5" x14ac:dyDescent="0.3">
      <c r="A2007" t="str">
        <f>HYPERLINK("https://anilist.co/staff/121793","Staff: Shinya Iino (Episode Director (eps 4, 7, 8))")</f>
        <v>Staff: Shinya Iino (Episode Director (eps 4, 7, 8))</v>
      </c>
      <c r="B2007" s="5">
        <v>70</v>
      </c>
      <c r="C2007" s="9">
        <v>1</v>
      </c>
      <c r="D2007" s="6">
        <v>1.4054813773717499E-4</v>
      </c>
      <c r="E2007" s="7">
        <v>9.8383696416022397E-3</v>
      </c>
    </row>
    <row r="2008" spans="1:5" x14ac:dyDescent="0.3">
      <c r="A2008" t="str">
        <f>HYPERLINK("https://anilist.co/staff/106507","Staff: Masayuki Kojima (Episode Director (ep 12))")</f>
        <v>Staff: Masayuki Kojima (Episode Director (ep 12))</v>
      </c>
      <c r="B2008" s="5">
        <v>70</v>
      </c>
      <c r="C2008" s="9">
        <v>1</v>
      </c>
      <c r="D2008" s="6">
        <v>1.4054813773717499E-4</v>
      </c>
      <c r="E2008" s="7">
        <v>9.8383696416022397E-3</v>
      </c>
    </row>
    <row r="2009" spans="1:5" x14ac:dyDescent="0.3">
      <c r="A2009" t="str">
        <f>HYPERLINK("https://anilist.co/staff/129974","Staff: Hitoshi Haga (Episode Director (eps 1, 6, 9))")</f>
        <v>Staff: Hitoshi Haga (Episode Director (eps 1, 6, 9))</v>
      </c>
      <c r="B2009" s="5">
        <v>70</v>
      </c>
      <c r="C2009" s="9">
        <v>1</v>
      </c>
      <c r="D2009" s="6">
        <v>1.4054813773717499E-4</v>
      </c>
      <c r="E2009" s="7">
        <v>9.8383696416022397E-3</v>
      </c>
    </row>
    <row r="2010" spans="1:5" x14ac:dyDescent="0.3">
      <c r="A2010" t="str">
        <f>HYPERLINK("https://anilist.co/staff/129975","Staff: Toshiharu Kudou (Episode Director (eps 5, 11))")</f>
        <v>Staff: Toshiharu Kudou (Episode Director (eps 5, 11))</v>
      </c>
      <c r="B2010" s="5">
        <v>70</v>
      </c>
      <c r="C2010" s="9">
        <v>1</v>
      </c>
      <c r="D2010" s="6">
        <v>1.4054813773717499E-4</v>
      </c>
      <c r="E2010" s="7">
        <v>9.8383696416022397E-3</v>
      </c>
    </row>
    <row r="2011" spans="1:5" x14ac:dyDescent="0.3">
      <c r="A2011" t="str">
        <f>HYPERLINK("https://anilist.co/staff/129976","Staff: Miyao Yamashita (Color Design)")</f>
        <v>Staff: Miyao Yamashita (Color Design)</v>
      </c>
      <c r="B2011" s="5">
        <v>70</v>
      </c>
      <c r="C2011" s="9">
        <v>1</v>
      </c>
      <c r="D2011" s="6">
        <v>1.4054813773717499E-4</v>
      </c>
      <c r="E2011" s="7">
        <v>9.8383696416022397E-3</v>
      </c>
    </row>
    <row r="2012" spans="1:5" x14ac:dyDescent="0.3">
      <c r="A2012" t="str">
        <f>HYPERLINK("https://anilist.co/staff/129977","Staff: Ema Tsunetaka (Director of Photography)")</f>
        <v>Staff: Ema Tsunetaka (Director of Photography)</v>
      </c>
      <c r="B2012" s="5">
        <v>70</v>
      </c>
      <c r="C2012" s="9">
        <v>1</v>
      </c>
      <c r="D2012" s="6">
        <v>1.4054813773717499E-4</v>
      </c>
      <c r="E2012" s="7">
        <v>9.8383696416022397E-3</v>
      </c>
    </row>
    <row r="2013" spans="1:5" x14ac:dyDescent="0.3">
      <c r="A2013" t="str">
        <f>HYPERLINK("https://anilist.co/staff/120341","Staff: Kagiji Kumanomata (Original Creator)")</f>
        <v>Staff: Kagiji Kumanomata (Original Creator)</v>
      </c>
      <c r="B2013" s="5">
        <v>70</v>
      </c>
      <c r="C2013" s="9">
        <v>1</v>
      </c>
      <c r="D2013" s="6">
        <v>1.4054813773717499E-4</v>
      </c>
      <c r="E2013" s="7">
        <v>9.8383696416022397E-3</v>
      </c>
    </row>
    <row r="2014" spans="1:5" x14ac:dyDescent="0.3">
      <c r="A2014" t="str">
        <f>HYPERLINK("https://anilist.co/staff/110249","Staff: Mitsue Yamazaki (Director)")</f>
        <v>Staff: Mitsue Yamazaki (Director)</v>
      </c>
      <c r="B2014" s="5">
        <v>70</v>
      </c>
      <c r="C2014" s="9">
        <v>1</v>
      </c>
      <c r="D2014" s="6">
        <v>1.4054813773717499E-4</v>
      </c>
      <c r="E2014" s="7">
        <v>9.8383696416022397E-3</v>
      </c>
    </row>
    <row r="2015" spans="1:5" x14ac:dyDescent="0.3">
      <c r="A2015" t="str">
        <f>HYPERLINK("https://anilist.co/staff/105224","Staff: Ai Kikuchi (Character Design)")</f>
        <v>Staff: Ai Kikuchi (Character Design)</v>
      </c>
      <c r="B2015" s="5">
        <v>70</v>
      </c>
      <c r="C2015" s="9">
        <v>1</v>
      </c>
      <c r="D2015" s="6">
        <v>1.4054813773717499E-4</v>
      </c>
      <c r="E2015" s="7">
        <v>9.8383696416022397E-3</v>
      </c>
    </row>
    <row r="2016" spans="1:5" x14ac:dyDescent="0.3">
      <c r="A2016" t="str">
        <f>HYPERLINK("https://anilist.co/staff/143025","Staff: Sumie Noro (Assistant Director)")</f>
        <v>Staff: Sumie Noro (Assistant Director)</v>
      </c>
      <c r="B2016" s="5">
        <v>70</v>
      </c>
      <c r="C2016" s="9">
        <v>1</v>
      </c>
      <c r="D2016" s="6">
        <v>1.4054813773717499E-4</v>
      </c>
      <c r="E2016" s="7">
        <v>9.8383696416022397E-3</v>
      </c>
    </row>
    <row r="2017" spans="1:5" x14ac:dyDescent="0.3">
      <c r="A2017" t="str">
        <f>HYPERLINK("https://anilist.co/staff/129035","Staff: Yuika Shiraishi (Sound Effects)")</f>
        <v>Staff: Yuika Shiraishi (Sound Effects)</v>
      </c>
      <c r="B2017" s="5">
        <v>70</v>
      </c>
      <c r="C2017" s="9">
        <v>1</v>
      </c>
      <c r="D2017" s="6">
        <v>1.4054813773717499E-4</v>
      </c>
      <c r="E2017" s="7">
        <v>9.8383696416022397E-3</v>
      </c>
    </row>
    <row r="2018" spans="1:5" x14ac:dyDescent="0.3">
      <c r="A2018" t="str">
        <f>HYPERLINK("https://anilist.co/staff/148674","Staff: Megumi Matsumoto (Prop Design)")</f>
        <v>Staff: Megumi Matsumoto (Prop Design)</v>
      </c>
      <c r="B2018" s="5">
        <v>70</v>
      </c>
      <c r="C2018" s="9">
        <v>1</v>
      </c>
      <c r="D2018" s="6">
        <v>1.4054813773717499E-4</v>
      </c>
      <c r="E2018" s="7">
        <v>9.8383696416022397E-3</v>
      </c>
    </row>
    <row r="2019" spans="1:5" x14ac:dyDescent="0.3">
      <c r="A2019" t="str">
        <f>HYPERLINK("https://anilist.co/staff/162389","Staff: Chieko Nakamura (Art Design)")</f>
        <v>Staff: Chieko Nakamura (Art Design)</v>
      </c>
      <c r="B2019" s="5">
        <v>70</v>
      </c>
      <c r="C2019" s="9">
        <v>1</v>
      </c>
      <c r="D2019" s="6">
        <v>1.4054813773717499E-4</v>
      </c>
      <c r="E2019" s="7">
        <v>9.8383696416022397E-3</v>
      </c>
    </row>
    <row r="2020" spans="1:5" x14ac:dyDescent="0.3">
      <c r="A2020" t="str">
        <f>HYPERLINK("https://anilist.co/staff/107442","Staff: Chiaki Nakajima (Sub Character Design)")</f>
        <v>Staff: Chiaki Nakajima (Sub Character Design)</v>
      </c>
      <c r="B2020" s="5">
        <v>70</v>
      </c>
      <c r="C2020" s="9">
        <v>1</v>
      </c>
      <c r="D2020" s="6">
        <v>1.4054813773717499E-4</v>
      </c>
      <c r="E2020" s="7">
        <v>9.8383696416022397E-3</v>
      </c>
    </row>
    <row r="2021" spans="1:5" x14ac:dyDescent="0.3">
      <c r="A2021" t="str">
        <f>HYPERLINK("https://anilist.co/staff/162389","Staff: Chieko Nakamura (Art Director)")</f>
        <v>Staff: Chieko Nakamura (Art Director)</v>
      </c>
      <c r="B2021" s="5">
        <v>70</v>
      </c>
      <c r="C2021" s="9">
        <v>1</v>
      </c>
      <c r="D2021" s="6">
        <v>1.4054813773717499E-4</v>
      </c>
      <c r="E2021" s="7">
        <v>9.8383696416022397E-3</v>
      </c>
    </row>
    <row r="2022" spans="1:5" x14ac:dyDescent="0.3">
      <c r="A2022" t="str">
        <f>HYPERLINK("https://anilist.co/staff/146757","Staff: Makoto Tanimura (Casting Management)")</f>
        <v>Staff: Makoto Tanimura (Casting Management)</v>
      </c>
      <c r="B2022" s="5">
        <v>70</v>
      </c>
      <c r="C2022" s="9">
        <v>1</v>
      </c>
      <c r="D2022" s="6">
        <v>1.4054813773717499E-4</v>
      </c>
      <c r="E2022" s="7">
        <v>9.8383696416022397E-3</v>
      </c>
    </row>
    <row r="2023" spans="1:5" x14ac:dyDescent="0.3">
      <c r="A2023" t="str">
        <f>HYPERLINK("https://anilist.co/staff/149855","Staff: Seiichi Sugiura (Visual Effects)")</f>
        <v>Staff: Seiichi Sugiura (Visual Effects)</v>
      </c>
      <c r="B2023" s="5">
        <v>70</v>
      </c>
      <c r="C2023" s="9">
        <v>1</v>
      </c>
      <c r="D2023" s="6">
        <v>1.4054813773717499E-4</v>
      </c>
      <c r="E2023" s="7">
        <v>9.8383696416022397E-3</v>
      </c>
    </row>
    <row r="2024" spans="1:5" x14ac:dyDescent="0.3">
      <c r="A2024" t="str">
        <f>HYPERLINK("https://anilist.co/staff/146763","Staff: Takafumi Kuwano (Graphic Design)")</f>
        <v>Staff: Takafumi Kuwano (Graphic Design)</v>
      </c>
      <c r="B2024" s="5">
        <v>70</v>
      </c>
      <c r="C2024" s="9">
        <v>1</v>
      </c>
      <c r="D2024" s="6">
        <v>1.4054813773717499E-4</v>
      </c>
      <c r="E2024" s="7">
        <v>9.8383696416022397E-3</v>
      </c>
    </row>
    <row r="2025" spans="1:5" x14ac:dyDescent="0.3">
      <c r="A2025" t="str">
        <f>HYPERLINK("https://anilist.co/staff/146391","Staff: ORESAMA (Theme Song Performance (ED))")</f>
        <v>Staff: ORESAMA (Theme Song Performance (ED))</v>
      </c>
      <c r="B2025" s="5">
        <v>70</v>
      </c>
      <c r="C2025" s="9">
        <v>1</v>
      </c>
      <c r="D2025" s="6">
        <v>1.4054813773717499E-4</v>
      </c>
      <c r="E2025" s="7">
        <v>9.8383696416022397E-3</v>
      </c>
    </row>
    <row r="2026" spans="1:5" x14ac:dyDescent="0.3">
      <c r="A2026" t="str">
        <f>HYPERLINK("https://anilist.co/staff/143025","Staff: Sumie Noro (Storyboard (ED, ep 2))")</f>
        <v>Staff: Sumie Noro (Storyboard (ED, ep 2))</v>
      </c>
      <c r="B2026" s="5">
        <v>70</v>
      </c>
      <c r="C2026" s="9">
        <v>1</v>
      </c>
      <c r="D2026" s="6">
        <v>1.4054813773717499E-4</v>
      </c>
      <c r="E2026" s="7">
        <v>9.8383696416022397E-3</v>
      </c>
    </row>
    <row r="2027" spans="1:5" x14ac:dyDescent="0.3">
      <c r="A2027" t="str">
        <f>HYPERLINK("https://anilist.co/staff/152586","Staff: Megumi Soeno (Episode Director (OP))")</f>
        <v>Staff: Megumi Soeno (Episode Director (OP))</v>
      </c>
      <c r="B2027" s="5">
        <v>70</v>
      </c>
      <c r="C2027" s="9">
        <v>1</v>
      </c>
      <c r="D2027" s="6">
        <v>1.4054813773717499E-4</v>
      </c>
      <c r="E2027" s="7">
        <v>9.8383696416022397E-3</v>
      </c>
    </row>
    <row r="2028" spans="1:5" x14ac:dyDescent="0.3">
      <c r="A2028" t="str">
        <f>HYPERLINK("https://anilist.co/staff/147226","Staff: Yasuyuki Noda (Animation Director (OP))")</f>
        <v>Staff: Yasuyuki Noda (Animation Director (OP))</v>
      </c>
      <c r="B2028" s="5">
        <v>70</v>
      </c>
      <c r="C2028" s="9">
        <v>1</v>
      </c>
      <c r="D2028" s="6">
        <v>1.4054813773717499E-4</v>
      </c>
      <c r="E2028" s="7">
        <v>9.8383696416022397E-3</v>
      </c>
    </row>
    <row r="2029" spans="1:5" x14ac:dyDescent="0.3">
      <c r="A2029" t="str">
        <f>HYPERLINK("https://anilist.co/staff/107442","Staff: Chiaki Nakajima (Animation Director (OP))")</f>
        <v>Staff: Chiaki Nakajima (Animation Director (OP))</v>
      </c>
      <c r="B2029" s="5">
        <v>70</v>
      </c>
      <c r="C2029" s="9">
        <v>1</v>
      </c>
      <c r="D2029" s="6">
        <v>1.4054813773717499E-4</v>
      </c>
      <c r="E2029" s="7">
        <v>9.8383696416022397E-3</v>
      </c>
    </row>
    <row r="2030" spans="1:5" x14ac:dyDescent="0.3">
      <c r="A2030" t="str">
        <f>HYPERLINK("https://anilist.co/staff/152586","Staff: Megumi Soeno (Storyboard (OP))")</f>
        <v>Staff: Megumi Soeno (Storyboard (OP))</v>
      </c>
      <c r="B2030" s="5">
        <v>70</v>
      </c>
      <c r="C2030" s="9">
        <v>1</v>
      </c>
      <c r="D2030" s="6">
        <v>1.4054813773717499E-4</v>
      </c>
      <c r="E2030" s="7">
        <v>9.8383696416022397E-3</v>
      </c>
    </row>
    <row r="2031" spans="1:5" x14ac:dyDescent="0.3">
      <c r="A2031" t="str">
        <f>HYPERLINK("https://anilist.co/staff/105224","Staff: Ai Kikuchi (Chief Animation Director (OP, ep 1))")</f>
        <v>Staff: Ai Kikuchi (Chief Animation Director (OP, ep 1))</v>
      </c>
      <c r="B2031" s="5">
        <v>70</v>
      </c>
      <c r="C2031" s="9">
        <v>1</v>
      </c>
      <c r="D2031" s="6">
        <v>1.4054813773717499E-4</v>
      </c>
      <c r="E2031" s="7">
        <v>9.8383696416022397E-3</v>
      </c>
    </row>
    <row r="2032" spans="1:5" x14ac:dyDescent="0.3">
      <c r="A2032" t="str">
        <f>HYPERLINK("https://anilist.co/staff/143025","Staff: Sumie Noro (Episode Director (ED, ep 2))")</f>
        <v>Staff: Sumie Noro (Episode Director (ED, ep 2))</v>
      </c>
      <c r="B2032" s="5">
        <v>70</v>
      </c>
      <c r="C2032" s="9">
        <v>1</v>
      </c>
      <c r="D2032" s="6">
        <v>1.4054813773717499E-4</v>
      </c>
      <c r="E2032" s="7">
        <v>9.8383696416022397E-3</v>
      </c>
    </row>
    <row r="2033" spans="1:5" x14ac:dyDescent="0.3">
      <c r="A2033" t="str">
        <f>HYPERLINK("https://anilist.co/staff/95053","Staff: Minori Chihara (Theme Song Performance)")</f>
        <v>Staff: Minori Chihara (Theme Song Performance)</v>
      </c>
      <c r="B2033" s="5">
        <v>70</v>
      </c>
      <c r="C2033" s="9">
        <v>1</v>
      </c>
      <c r="D2033" s="6">
        <v>1.4054813773717499E-4</v>
      </c>
      <c r="E2033" s="7">
        <v>9.8383696416022397E-3</v>
      </c>
    </row>
    <row r="2034" spans="1:5" x14ac:dyDescent="0.3">
      <c r="A2034" t="str">
        <f>HYPERLINK("https://anilist.co/staff/95158","Staff: Marina Inoue (Theme Song Performance)")</f>
        <v>Staff: Marina Inoue (Theme Song Performance)</v>
      </c>
      <c r="B2034" s="5">
        <v>70</v>
      </c>
      <c r="C2034" s="9">
        <v>1</v>
      </c>
      <c r="D2034" s="6">
        <v>1.4054813773717499E-4</v>
      </c>
      <c r="E2034" s="7">
        <v>9.8383696416022397E-3</v>
      </c>
    </row>
    <row r="2035" spans="1:5" x14ac:dyDescent="0.3">
      <c r="A2035" t="str">
        <f>HYPERLINK("https://anilist.co/staff/95241","Staff: Rina Satou (Theme Song Performance)")</f>
        <v>Staff: Rina Satou (Theme Song Performance)</v>
      </c>
      <c r="B2035" s="5">
        <v>70</v>
      </c>
      <c r="C2035" s="9">
        <v>1</v>
      </c>
      <c r="D2035" s="6">
        <v>1.4054813773717499E-4</v>
      </c>
      <c r="E2035" s="7">
        <v>9.8383696416022397E-3</v>
      </c>
    </row>
    <row r="2036" spans="1:5" x14ac:dyDescent="0.3">
      <c r="A2036" t="str">
        <f>HYPERLINK("https://anilist.co/staff/100961","Staff: Tomoki Kikuya (Theme Song Arrangement)")</f>
        <v>Staff: Tomoki Kikuya (Theme Song Arrangement)</v>
      </c>
      <c r="B2036" s="5">
        <v>70</v>
      </c>
      <c r="C2036" s="9">
        <v>1</v>
      </c>
      <c r="D2036" s="6">
        <v>1.4054813773717499E-4</v>
      </c>
      <c r="E2036" s="7">
        <v>9.8383696416022397E-3</v>
      </c>
    </row>
    <row r="2037" spans="1:5" x14ac:dyDescent="0.3">
      <c r="A2037" t="str">
        <f>HYPERLINK("https://anilist.co/staff/101483","Staff: Takashi Yamazaki (Storyboard  (ep 4, 7))")</f>
        <v>Staff: Takashi Yamazaki (Storyboard  (ep 4, 7))</v>
      </c>
      <c r="B2037" s="5">
        <v>70</v>
      </c>
      <c r="C2037" s="9">
        <v>1</v>
      </c>
      <c r="D2037" s="6">
        <v>1.4054813773717499E-4</v>
      </c>
      <c r="E2037" s="7">
        <v>9.8383696416022397E-3</v>
      </c>
    </row>
    <row r="2038" spans="1:5" x14ac:dyDescent="0.3">
      <c r="A2038" t="str">
        <f>HYPERLINK("https://anilist.co/staff/101719","Staff: Coharu Sakuraba (Original Creator)")</f>
        <v>Staff: Coharu Sakuraba (Original Creator)</v>
      </c>
      <c r="B2038" s="5">
        <v>70</v>
      </c>
      <c r="C2038" s="9">
        <v>1</v>
      </c>
      <c r="D2038" s="6">
        <v>1.4054813773717499E-4</v>
      </c>
      <c r="E2038" s="7">
        <v>9.8383696416022397E-3</v>
      </c>
    </row>
    <row r="2039" spans="1:5" x14ac:dyDescent="0.3">
      <c r="A2039" t="str">
        <f>HYPERLINK("https://anilist.co/staff/102528","Staff: Shinji Ochi (Character Design)")</f>
        <v>Staff: Shinji Ochi (Character Design)</v>
      </c>
      <c r="B2039" s="5">
        <v>70</v>
      </c>
      <c r="C2039" s="9">
        <v>1</v>
      </c>
      <c r="D2039" s="6">
        <v>1.4054813773717499E-4</v>
      </c>
      <c r="E2039" s="7">
        <v>9.8383696416022397E-3</v>
      </c>
    </row>
    <row r="2040" spans="1:5" x14ac:dyDescent="0.3">
      <c r="A2040" t="str">
        <f>HYPERLINK("https://anilist.co/staff/102528","Staff: Shinji Ochi (Key Animation)")</f>
        <v>Staff: Shinji Ochi (Key Animation)</v>
      </c>
      <c r="B2040" s="5">
        <v>70</v>
      </c>
      <c r="C2040" s="9">
        <v>1</v>
      </c>
      <c r="D2040" s="6">
        <v>1.4054813773717499E-4</v>
      </c>
      <c r="E2040" s="7">
        <v>9.8383696416022397E-3</v>
      </c>
    </row>
    <row r="2041" spans="1:5" x14ac:dyDescent="0.3">
      <c r="A2041" t="str">
        <f>HYPERLINK("https://anilist.co/staff/103835","Staff: Yoshihiro Watanabe (Key Animation)")</f>
        <v>Staff: Yoshihiro Watanabe (Key Animation)</v>
      </c>
      <c r="B2041" s="5">
        <v>70</v>
      </c>
      <c r="C2041" s="9">
        <v>1</v>
      </c>
      <c r="D2041" s="6">
        <v>1.4054813773717499E-4</v>
      </c>
      <c r="E2041" s="7">
        <v>9.8383696416022397E-3</v>
      </c>
    </row>
    <row r="2042" spans="1:5" x14ac:dyDescent="0.3">
      <c r="A2042" t="str">
        <f>HYPERLINK("https://anilist.co/staff/103835","Staff: Yoshihiro Watanabe (Mechanical Design)")</f>
        <v>Staff: Yoshihiro Watanabe (Mechanical Design)</v>
      </c>
      <c r="B2042" s="5">
        <v>70</v>
      </c>
      <c r="C2042" s="9">
        <v>1</v>
      </c>
      <c r="D2042" s="6">
        <v>1.4054813773717499E-4</v>
      </c>
      <c r="E2042" s="7">
        <v>9.8383696416022397E-3</v>
      </c>
    </row>
    <row r="2043" spans="1:5" x14ac:dyDescent="0.3">
      <c r="A2043" t="str">
        <f>HYPERLINK("https://anilist.co/staff/103838","Staff: Masahiko Oota (Storyboard)")</f>
        <v>Staff: Masahiko Oota (Storyboard)</v>
      </c>
      <c r="B2043" s="5">
        <v>70</v>
      </c>
      <c r="C2043" s="9">
        <v>1</v>
      </c>
      <c r="D2043" s="6">
        <v>1.4054813773717499E-4</v>
      </c>
      <c r="E2043" s="7">
        <v>9.8383696416022397E-3</v>
      </c>
    </row>
    <row r="2044" spans="1:5" x14ac:dyDescent="0.3">
      <c r="A2044" t="str">
        <f>HYPERLINK("https://anilist.co/staff/103838","Staff: Masahiko Oota (Episode Director)")</f>
        <v>Staff: Masahiko Oota (Episode Director)</v>
      </c>
      <c r="B2044" s="5">
        <v>70</v>
      </c>
      <c r="C2044" s="9">
        <v>1</v>
      </c>
      <c r="D2044" s="6">
        <v>1.4054813773717499E-4</v>
      </c>
      <c r="E2044" s="7">
        <v>9.8383696416022397E-3</v>
      </c>
    </row>
    <row r="2045" spans="1:5" x14ac:dyDescent="0.3">
      <c r="A2045" t="str">
        <f>HYPERLINK("https://anilist.co/staff/104170","Staff: Akiko Matsuo (Animation Director  (ep. 12))")</f>
        <v>Staff: Akiko Matsuo (Animation Director  (ep. 12))</v>
      </c>
      <c r="B2045" s="5">
        <v>70</v>
      </c>
      <c r="C2045" s="9">
        <v>1</v>
      </c>
      <c r="D2045" s="6">
        <v>1.4054813773717499E-4</v>
      </c>
      <c r="E2045" s="7">
        <v>9.8383696416022397E-3</v>
      </c>
    </row>
    <row r="2046" spans="1:5" x14ac:dyDescent="0.3">
      <c r="A2046" t="str">
        <f>HYPERLINK("https://anilist.co/staff/104572","Staff: Takuya Satou (Storyboard  (ep 10))")</f>
        <v>Staff: Takuya Satou (Storyboard  (ep 10))</v>
      </c>
      <c r="B2046" s="5">
        <v>70</v>
      </c>
      <c r="C2046" s="9">
        <v>1</v>
      </c>
      <c r="D2046" s="6">
        <v>1.4054813773717499E-4</v>
      </c>
      <c r="E2046" s="7">
        <v>9.8383696416022397E-3</v>
      </c>
    </row>
    <row r="2047" spans="1:5" x14ac:dyDescent="0.3">
      <c r="A2047" t="str">
        <f>HYPERLINK("https://anilist.co/staff/104826","Staff: Tetsurou Amino (Storyboard  (eps 4, 8, 12-13))")</f>
        <v>Staff: Tetsurou Amino (Storyboard  (eps 4, 8, 12-13))</v>
      </c>
      <c r="B2047" s="5">
        <v>70</v>
      </c>
      <c r="C2047" s="9">
        <v>1</v>
      </c>
      <c r="D2047" s="6">
        <v>1.4054813773717499E-4</v>
      </c>
      <c r="E2047" s="7">
        <v>9.8383696416022397E-3</v>
      </c>
    </row>
    <row r="2048" spans="1:5" x14ac:dyDescent="0.3">
      <c r="A2048" t="str">
        <f>HYPERLINK("https://anilist.co/staff/114347","Staff: Takahiro Yamanaka (Producer)")</f>
        <v>Staff: Takahiro Yamanaka (Producer)</v>
      </c>
      <c r="B2048" s="5">
        <v>70</v>
      </c>
      <c r="C2048" s="9">
        <v>1</v>
      </c>
      <c r="D2048" s="6">
        <v>1.4054813773717499E-4</v>
      </c>
      <c r="E2048" s="7">
        <v>9.8383696416022397E-3</v>
      </c>
    </row>
    <row r="2049" spans="1:5" x14ac:dyDescent="0.3">
      <c r="A2049" t="str">
        <f>HYPERLINK("https://anilist.co/staff/120874","Staff: Kenji Sugihara (Script (eps 3, 7, 11))")</f>
        <v>Staff: Kenji Sugihara (Script (eps 3, 7, 11))</v>
      </c>
      <c r="B2049" s="5">
        <v>70</v>
      </c>
      <c r="C2049" s="9">
        <v>1</v>
      </c>
      <c r="D2049" s="6">
        <v>1.4054813773717499E-4</v>
      </c>
      <c r="E2049" s="7">
        <v>9.8383696416022397E-3</v>
      </c>
    </row>
    <row r="2050" spans="1:5" x14ac:dyDescent="0.3">
      <c r="A2050" t="str">
        <f>HYPERLINK("https://anilist.co/staff/103837","Staff: Takashi Aoshima (Script (eps 1, 5, 9, 12))")</f>
        <v>Staff: Takashi Aoshima (Script (eps 1, 5, 9, 12))</v>
      </c>
      <c r="B2050" s="5">
        <v>70</v>
      </c>
      <c r="C2050" s="9">
        <v>1</v>
      </c>
      <c r="D2050" s="6">
        <v>1.4054813773717499E-4</v>
      </c>
      <c r="E2050" s="7">
        <v>9.8383696416022397E-3</v>
      </c>
    </row>
    <row r="2051" spans="1:5" x14ac:dyDescent="0.3">
      <c r="A2051" t="str">
        <f>HYPERLINK("https://anilist.co/staff/103836","Staff: Hideaki Koyasu (Script (eps 2, 6, 10))")</f>
        <v>Staff: Hideaki Koyasu (Script (eps 2, 6, 10))</v>
      </c>
      <c r="B2051" s="5">
        <v>70</v>
      </c>
      <c r="C2051" s="9">
        <v>1</v>
      </c>
      <c r="D2051" s="6">
        <v>1.4054813773717499E-4</v>
      </c>
      <c r="E2051" s="7">
        <v>9.8383696416022397E-3</v>
      </c>
    </row>
    <row r="2052" spans="1:5" x14ac:dyDescent="0.3">
      <c r="A2052" t="str">
        <f>HYPERLINK("https://anilist.co/staff/141340","Staff: Kazuya Konomoto (Script (eps 1-13))")</f>
        <v>Staff: Kazuya Konomoto (Script (eps 1-13))</v>
      </c>
      <c r="B2052" s="5">
        <v>70</v>
      </c>
      <c r="C2052" s="9">
        <v>1</v>
      </c>
      <c r="D2052" s="6">
        <v>1.4054813773717499E-4</v>
      </c>
      <c r="E2052" s="7">
        <v>9.8383696416022397E-3</v>
      </c>
    </row>
    <row r="2053" spans="1:5" x14ac:dyDescent="0.3">
      <c r="A2053" t="str">
        <f>HYPERLINK("https://anilist.co/staff/204553","Staff: Baku Kinoshita (Director)")</f>
        <v>Staff: Baku Kinoshita (Director)</v>
      </c>
      <c r="B2053" s="5">
        <v>70</v>
      </c>
      <c r="C2053" s="9">
        <v>1</v>
      </c>
      <c r="D2053" s="6">
        <v>1.4054813773717499E-4</v>
      </c>
      <c r="E2053" s="7">
        <v>9.8383696416022397E-3</v>
      </c>
    </row>
    <row r="2054" spans="1:5" x14ac:dyDescent="0.3">
      <c r="A2054" t="str">
        <f>HYPERLINK("https://anilist.co/staff/174429","Staff: Kenji Katou (Art Director)")</f>
        <v>Staff: Kenji Katou (Art Director)</v>
      </c>
      <c r="B2054" s="5">
        <v>70</v>
      </c>
      <c r="C2054" s="9">
        <v>1</v>
      </c>
      <c r="D2054" s="6">
        <v>1.4054813773717499E-4</v>
      </c>
      <c r="E2054" s="7">
        <v>9.8383696416022397E-3</v>
      </c>
    </row>
    <row r="2055" spans="1:5" x14ac:dyDescent="0.3">
      <c r="A2055" t="str">
        <f>HYPERLINK("https://anilist.co/staff/204553","Staff: Baku Kinoshita (Character Design)")</f>
        <v>Staff: Baku Kinoshita (Character Design)</v>
      </c>
      <c r="B2055" s="5">
        <v>70</v>
      </c>
      <c r="C2055" s="9">
        <v>1</v>
      </c>
      <c r="D2055" s="6">
        <v>1.4054813773717499E-4</v>
      </c>
      <c r="E2055" s="7">
        <v>9.8383696416022397E-3</v>
      </c>
    </row>
    <row r="2056" spans="1:5" x14ac:dyDescent="0.3">
      <c r="A2056" t="str">
        <f>HYPERLINK("https://anilist.co/staff/148703","Staff: Hiromi Nakayama (Character Design)")</f>
        <v>Staff: Hiromi Nakayama (Character Design)</v>
      </c>
      <c r="B2056" s="5">
        <v>70</v>
      </c>
      <c r="C2056" s="9">
        <v>1</v>
      </c>
      <c r="D2056" s="6">
        <v>1.4054813773717499E-4</v>
      </c>
      <c r="E2056" s="7">
        <v>9.8383696416022397E-3</v>
      </c>
    </row>
    <row r="2057" spans="1:5" x14ac:dyDescent="0.3">
      <c r="A2057" t="str">
        <f>HYPERLINK("https://anilist.co/staff/146188","Staff: Norio Nitta (Assistant Director)")</f>
        <v>Staff: Norio Nitta (Assistant Director)</v>
      </c>
      <c r="B2057" s="5">
        <v>70</v>
      </c>
      <c r="C2057" s="9">
        <v>1</v>
      </c>
      <c r="D2057" s="6">
        <v>1.4054813773717499E-4</v>
      </c>
      <c r="E2057" s="7">
        <v>9.8383696416022397E-3</v>
      </c>
    </row>
    <row r="2058" spans="1:5" x14ac:dyDescent="0.3">
      <c r="A2058" t="str">
        <f>HYPERLINK("https://anilist.co/staff/204557","Staff: Miyabi Amada (Director of Photography)")</f>
        <v>Staff: Miyabi Amada (Director of Photography)</v>
      </c>
      <c r="B2058" s="5">
        <v>70</v>
      </c>
      <c r="C2058" s="9">
        <v>1</v>
      </c>
      <c r="D2058" s="6">
        <v>1.4054813773717499E-4</v>
      </c>
      <c r="E2058" s="7">
        <v>9.8383696416022397E-3</v>
      </c>
    </row>
    <row r="2059" spans="1:5" x14ac:dyDescent="0.3">
      <c r="A2059" t="str">
        <f>HYPERLINK("https://anilist.co/staff/204556","Staff: Tatsue Oozeki (Color Design)")</f>
        <v>Staff: Tatsue Oozeki (Color Design)</v>
      </c>
      <c r="B2059" s="5">
        <v>70</v>
      </c>
      <c r="C2059" s="9">
        <v>1</v>
      </c>
      <c r="D2059" s="6">
        <v>1.4054813773717499E-4</v>
      </c>
      <c r="E2059" s="7">
        <v>9.8383696416022397E-3</v>
      </c>
    </row>
    <row r="2060" spans="1:5" x14ac:dyDescent="0.3">
      <c r="A2060" t="str">
        <f>HYPERLINK("https://anilist.co/staff/159634","Staff: Yoshiki Ushiroda (Editing)")</f>
        <v>Staff: Yoshiki Ushiroda (Editing)</v>
      </c>
      <c r="B2060" s="5">
        <v>70</v>
      </c>
      <c r="C2060" s="9">
        <v>1</v>
      </c>
      <c r="D2060" s="6">
        <v>1.4054813773717499E-4</v>
      </c>
      <c r="E2060" s="7">
        <v>9.8383696416022397E-3</v>
      </c>
    </row>
    <row r="2061" spans="1:5" x14ac:dyDescent="0.3">
      <c r="A2061" t="str">
        <f>HYPERLINK("https://anilist.co/staff/204558","Staff: Kouhei Yoshida (Sound Director)")</f>
        <v>Staff: Kouhei Yoshida (Sound Director)</v>
      </c>
      <c r="B2061" s="5">
        <v>70</v>
      </c>
      <c r="C2061" s="9">
        <v>1</v>
      </c>
      <c r="D2061" s="6">
        <v>1.4054813773717499E-4</v>
      </c>
      <c r="E2061" s="7">
        <v>9.8383696416022397E-3</v>
      </c>
    </row>
    <row r="2062" spans="1:5" x14ac:dyDescent="0.3">
      <c r="A2062" t="str">
        <f>HYPERLINK("https://anilist.co/staff/204559","Staff: PUNPEE (Music)")</f>
        <v>Staff: PUNPEE (Music)</v>
      </c>
      <c r="B2062" s="5">
        <v>70</v>
      </c>
      <c r="C2062" s="9">
        <v>1</v>
      </c>
      <c r="D2062" s="6">
        <v>1.4054813773717499E-4</v>
      </c>
      <c r="E2062" s="7">
        <v>9.8383696416022397E-3</v>
      </c>
    </row>
    <row r="2063" spans="1:5" x14ac:dyDescent="0.3">
      <c r="A2063" t="str">
        <f>HYPERLINK("https://anilist.co/staff/204560","Staff: OMSB (Music)")</f>
        <v>Staff: OMSB (Music)</v>
      </c>
      <c r="B2063" s="5">
        <v>70</v>
      </c>
      <c r="C2063" s="9">
        <v>1</v>
      </c>
      <c r="D2063" s="6">
        <v>1.4054813773717499E-4</v>
      </c>
      <c r="E2063" s="7">
        <v>9.8383696416022397E-3</v>
      </c>
    </row>
    <row r="2064" spans="1:5" x14ac:dyDescent="0.3">
      <c r="A2064" t="str">
        <f>HYPERLINK("https://anilist.co/staff/204561","Staff: VaVa (Music)")</f>
        <v>Staff: VaVa (Music)</v>
      </c>
      <c r="B2064" s="5">
        <v>70</v>
      </c>
      <c r="C2064" s="9">
        <v>1</v>
      </c>
      <c r="D2064" s="6">
        <v>1.4054813773717499E-4</v>
      </c>
      <c r="E2064" s="7">
        <v>9.8383696416022397E-3</v>
      </c>
    </row>
    <row r="2065" spans="1:5" x14ac:dyDescent="0.3">
      <c r="A2065" t="str">
        <f>HYPERLINK("https://anilist.co/staff/147249","Staff: Wataru Sawabe (Theme Song Performance (OP))")</f>
        <v>Staff: Wataru Sawabe (Theme Song Performance (OP))</v>
      </c>
      <c r="B2065" s="5">
        <v>70</v>
      </c>
      <c r="C2065" s="9">
        <v>1</v>
      </c>
      <c r="D2065" s="6">
        <v>1.4054813773717499E-4</v>
      </c>
      <c r="E2065" s="7">
        <v>9.8383696416022397E-3</v>
      </c>
    </row>
    <row r="2066" spans="1:5" x14ac:dyDescent="0.3">
      <c r="A2066" t="str">
        <f>HYPERLINK("https://anilist.co/staff/106359","Staff: Suzuko Mimori (Theme Song Performance (ED))")</f>
        <v>Staff: Suzuko Mimori (Theme Song Performance (ED))</v>
      </c>
      <c r="B2066" s="5">
        <v>70</v>
      </c>
      <c r="C2066" s="9">
        <v>1</v>
      </c>
      <c r="D2066" s="6">
        <v>1.4054813773717499E-4</v>
      </c>
      <c r="E2066" s="7">
        <v>9.8383696416022397E-3</v>
      </c>
    </row>
    <row r="2067" spans="1:5" x14ac:dyDescent="0.3">
      <c r="A2067" t="str">
        <f>HYPERLINK("https://anilist.co/staff/204559","Staff: PUNPEE (Theme Song Performance (OP))")</f>
        <v>Staff: PUNPEE (Theme Song Performance (OP))</v>
      </c>
      <c r="B2067" s="5">
        <v>70</v>
      </c>
      <c r="C2067" s="9">
        <v>1</v>
      </c>
      <c r="D2067" s="6">
        <v>1.4054813773717499E-4</v>
      </c>
      <c r="E2067" s="7">
        <v>9.8383696416022397E-3</v>
      </c>
    </row>
    <row r="2068" spans="1:5" x14ac:dyDescent="0.3">
      <c r="A2068" t="str">
        <f>HYPERLINK("https://anilist.co/staff/157986","Staff: Yoshifumi Yarimizu (Music Producer)")</f>
        <v>Staff: Yoshifumi Yarimizu (Music Producer)</v>
      </c>
      <c r="B2068" s="5">
        <v>70</v>
      </c>
      <c r="C2068" s="9">
        <v>1</v>
      </c>
      <c r="D2068" s="6">
        <v>1.4054813773717499E-4</v>
      </c>
      <c r="E2068" s="7">
        <v>9.8383696416022397E-3</v>
      </c>
    </row>
    <row r="2069" spans="1:5" x14ac:dyDescent="0.3">
      <c r="A2069" t="str">
        <f>HYPERLINK("https://anilist.co/staff/149443","Staff: Hideki Kama (Producer)")</f>
        <v>Staff: Hideki Kama (Producer)</v>
      </c>
      <c r="B2069" s="5">
        <v>70</v>
      </c>
      <c r="C2069" s="9">
        <v>1</v>
      </c>
      <c r="D2069" s="6">
        <v>1.4054813773717499E-4</v>
      </c>
      <c r="E2069" s="7">
        <v>9.8383696416022397E-3</v>
      </c>
    </row>
    <row r="2070" spans="1:5" x14ac:dyDescent="0.3">
      <c r="A2070" t="str">
        <f>HYPERLINK("https://anilist.co/staff/167122","Staff: Hirofumi Itou (Producer)")</f>
        <v>Staff: Hirofumi Itou (Producer)</v>
      </c>
      <c r="B2070" s="5">
        <v>70</v>
      </c>
      <c r="C2070" s="9">
        <v>1</v>
      </c>
      <c r="D2070" s="6">
        <v>1.4054813773717499E-4</v>
      </c>
      <c r="E2070" s="7">
        <v>9.8383696416022397E-3</v>
      </c>
    </row>
    <row r="2071" spans="1:5" x14ac:dyDescent="0.3">
      <c r="A2071" t="str">
        <f>HYPERLINK("https://anilist.co/staff/146497","Staff: Aya Iizuka (Producer)")</f>
        <v>Staff: Aya Iizuka (Producer)</v>
      </c>
      <c r="B2071" s="5">
        <v>70</v>
      </c>
      <c r="C2071" s="9">
        <v>1</v>
      </c>
      <c r="D2071" s="6">
        <v>1.4054813773717499E-4</v>
      </c>
      <c r="E2071" s="7">
        <v>9.8383696416022397E-3</v>
      </c>
    </row>
    <row r="2072" spans="1:5" x14ac:dyDescent="0.3">
      <c r="A2072" t="str">
        <f>HYPERLINK("https://anilist.co/staff/128905","Staff: Akiko Nabeiwa (Producer)")</f>
        <v>Staff: Akiko Nabeiwa (Producer)</v>
      </c>
      <c r="B2072" s="5">
        <v>70</v>
      </c>
      <c r="C2072" s="9">
        <v>1</v>
      </c>
      <c r="D2072" s="6">
        <v>1.4054813773717499E-4</v>
      </c>
      <c r="E2072" s="7">
        <v>9.8383696416022397E-3</v>
      </c>
    </row>
    <row r="2073" spans="1:5" x14ac:dyDescent="0.3">
      <c r="A2073" t="str">
        <f>HYPERLINK("https://anilist.co/staff/217018","Staff: Mitsugu Yamada (Producer)")</f>
        <v>Staff: Mitsugu Yamada (Producer)</v>
      </c>
      <c r="B2073" s="5">
        <v>70</v>
      </c>
      <c r="C2073" s="9">
        <v>1</v>
      </c>
      <c r="D2073" s="6">
        <v>1.4054813773717499E-4</v>
      </c>
      <c r="E2073" s="7">
        <v>9.8383696416022397E-3</v>
      </c>
    </row>
    <row r="2074" spans="1:5" x14ac:dyDescent="0.3">
      <c r="A2074" t="str">
        <f>HYPERLINK("https://anilist.co/staff/217019","Staff: Nobuhiko Kurosu (Producer)")</f>
        <v>Staff: Nobuhiko Kurosu (Producer)</v>
      </c>
      <c r="B2074" s="5">
        <v>70</v>
      </c>
      <c r="C2074" s="9">
        <v>1</v>
      </c>
      <c r="D2074" s="6">
        <v>1.4054813773717499E-4</v>
      </c>
      <c r="E2074" s="7">
        <v>9.8383696416022397E-3</v>
      </c>
    </row>
    <row r="2075" spans="1:5" x14ac:dyDescent="0.3">
      <c r="A2075" t="str">
        <f>HYPERLINK("https://anilist.co/staff/217020","Staff: Kousuke Kazuno (Producer)")</f>
        <v>Staff: Kousuke Kazuno (Producer)</v>
      </c>
      <c r="B2075" s="5">
        <v>70</v>
      </c>
      <c r="C2075" s="9">
        <v>1</v>
      </c>
      <c r="D2075" s="6">
        <v>1.4054813773717499E-4</v>
      </c>
      <c r="E2075" s="7">
        <v>9.8383696416022397E-3</v>
      </c>
    </row>
    <row r="2076" spans="1:5" x14ac:dyDescent="0.3">
      <c r="A2076" t="str">
        <f>HYPERLINK("https://anilist.co/staff/217021","Staff: Daisuke Yoshioka (Animation Producer)")</f>
        <v>Staff: Daisuke Yoshioka (Animation Producer)</v>
      </c>
      <c r="B2076" s="5">
        <v>70</v>
      </c>
      <c r="C2076" s="9">
        <v>1</v>
      </c>
      <c r="D2076" s="6">
        <v>1.4054813773717499E-4</v>
      </c>
      <c r="E2076" s="7">
        <v>9.8383696416022397E-3</v>
      </c>
    </row>
    <row r="2077" spans="1:5" x14ac:dyDescent="0.3">
      <c r="A2077" t="str">
        <f>HYPERLINK("https://anilist.co/staff/195975","Staff: every♥ing! (Theme Song Performance (OP))")</f>
        <v>Staff: every♥ing! (Theme Song Performance (OP))</v>
      </c>
      <c r="B2077" s="5">
        <v>70</v>
      </c>
      <c r="C2077" s="9">
        <v>1</v>
      </c>
      <c r="D2077" s="6">
        <v>1.4054813773717499E-4</v>
      </c>
      <c r="E2077" s="7">
        <v>9.8383696416022397E-3</v>
      </c>
    </row>
    <row r="2078" spans="1:5" x14ac:dyDescent="0.3">
      <c r="A2078" t="str">
        <f>HYPERLINK("https://anilist.co/staff/199589","Staff: Takashi Yoshida (Planning)")</f>
        <v>Staff: Takashi Yoshida (Planning)</v>
      </c>
      <c r="B2078" s="5">
        <v>70</v>
      </c>
      <c r="C2078" s="9">
        <v>1</v>
      </c>
      <c r="D2078" s="6">
        <v>1.4054813773717499E-4</v>
      </c>
      <c r="E2078" s="7">
        <v>9.8383696416022397E-3</v>
      </c>
    </row>
    <row r="2079" spans="1:5" x14ac:dyDescent="0.3">
      <c r="A2079" t="str">
        <f>HYPERLINK("https://anilist.co/staff/143360","Staff: Gorou Shinjuku (Planning)")</f>
        <v>Staff: Gorou Shinjuku (Planning)</v>
      </c>
      <c r="B2079" s="5">
        <v>70</v>
      </c>
      <c r="C2079" s="9">
        <v>1</v>
      </c>
      <c r="D2079" s="6">
        <v>1.4054813773717499E-4</v>
      </c>
      <c r="E2079" s="7">
        <v>9.8383696416022397E-3</v>
      </c>
    </row>
    <row r="2080" spans="1:5" x14ac:dyDescent="0.3">
      <c r="A2080" t="str">
        <f>HYPERLINK("https://anilist.co/staff/149013","Staff: Mami Gotou (Director of Photography)")</f>
        <v>Staff: Mami Gotou (Director of Photography)</v>
      </c>
      <c r="B2080" s="5">
        <v>70</v>
      </c>
      <c r="C2080" s="9">
        <v>1</v>
      </c>
      <c r="D2080" s="6">
        <v>1.4054813773717499E-4</v>
      </c>
      <c r="E2080" s="7">
        <v>9.8383696416022397E-3</v>
      </c>
    </row>
    <row r="2081" spans="1:5" x14ac:dyDescent="0.3">
      <c r="A2081" t="str">
        <f>HYPERLINK("https://anilist.co/staff/150598","Staff: Kazuaki Morijiri (Producer)")</f>
        <v>Staff: Kazuaki Morijiri (Producer)</v>
      </c>
      <c r="B2081" s="5">
        <v>70</v>
      </c>
      <c r="C2081" s="9">
        <v>1</v>
      </c>
      <c r="D2081" s="6">
        <v>1.4054813773717499E-4</v>
      </c>
      <c r="E2081" s="7">
        <v>9.8383696416022397E-3</v>
      </c>
    </row>
    <row r="2082" spans="1:5" x14ac:dyDescent="0.3">
      <c r="A2082" t="str">
        <f>HYPERLINK("https://anilist.co/staff/144424","Staff: Toshiko Kaizu (Art Director)")</f>
        <v>Staff: Toshiko Kaizu (Art Director)</v>
      </c>
      <c r="B2082" s="5">
        <v>70</v>
      </c>
      <c r="C2082" s="9">
        <v>1</v>
      </c>
      <c r="D2082" s="6">
        <v>1.4054813773717499E-4</v>
      </c>
      <c r="E2082" s="7">
        <v>9.8383696416022397E-3</v>
      </c>
    </row>
    <row r="2083" spans="1:5" x14ac:dyDescent="0.3">
      <c r="A2083" t="str">
        <f>HYPERLINK("https://anilist.co/staff/160968","Staff: Mineyo Oonishi (Color Design)")</f>
        <v>Staff: Mineyo Oonishi (Color Design)</v>
      </c>
      <c r="B2083" s="5">
        <v>70</v>
      </c>
      <c r="C2083" s="9">
        <v>1</v>
      </c>
      <c r="D2083" s="6">
        <v>1.4054813773717499E-4</v>
      </c>
      <c r="E2083" s="7">
        <v>9.8383696416022397E-3</v>
      </c>
    </row>
    <row r="2084" spans="1:5" x14ac:dyDescent="0.3">
      <c r="A2084" t="str">
        <f>HYPERLINK("https://anilist.co/staff/175749","Staff: Shinichi Kinoshita (Production Desk)")</f>
        <v>Staff: Shinichi Kinoshita (Production Desk)</v>
      </c>
      <c r="B2084" s="5">
        <v>70</v>
      </c>
      <c r="C2084" s="9">
        <v>1</v>
      </c>
      <c r="D2084" s="6">
        <v>1.4054813773717499E-4</v>
      </c>
      <c r="E2084" s="7">
        <v>9.8383696416022397E-3</v>
      </c>
    </row>
    <row r="2085" spans="1:5" x14ac:dyDescent="0.3">
      <c r="A2085" t="str">
        <f>HYPERLINK("https://anilist.co/staff/203274","Staff: Ayano Enomoto (Background Art (eps 1, 3, 4))")</f>
        <v>Staff: Ayano Enomoto (Background Art (eps 1, 3, 4))</v>
      </c>
      <c r="B2085" s="5">
        <v>70</v>
      </c>
      <c r="C2085" s="9">
        <v>1</v>
      </c>
      <c r="D2085" s="6">
        <v>1.4054813773717499E-4</v>
      </c>
      <c r="E2085" s="7">
        <v>9.8383696416022397E-3</v>
      </c>
    </row>
    <row r="2086" spans="1:5" x14ac:dyDescent="0.3">
      <c r="A2086" t="str">
        <f>HYPERLINK("https://anilist.co/staff/226403","Staff: Tsuguharu Sakurai (Executive Producer)")</f>
        <v>Staff: Tsuguharu Sakurai (Executive Producer)</v>
      </c>
      <c r="B2086" s="5">
        <v>70</v>
      </c>
      <c r="C2086" s="9">
        <v>1</v>
      </c>
      <c r="D2086" s="6">
        <v>1.4054813773717499E-4</v>
      </c>
      <c r="E2086" s="7">
        <v>9.8383696416022397E-3</v>
      </c>
    </row>
    <row r="2087" spans="1:5" x14ac:dyDescent="0.3">
      <c r="A2087" t="str">
        <f>HYPERLINK("https://anilist.co/staff/154045","Staff: Makoto Kuwahara (Production Generalization)")</f>
        <v>Staff: Makoto Kuwahara (Production Generalization)</v>
      </c>
      <c r="B2087" s="5">
        <v>70</v>
      </c>
      <c r="C2087" s="9">
        <v>1</v>
      </c>
      <c r="D2087" s="6">
        <v>1.4054813773717499E-4</v>
      </c>
      <c r="E2087" s="7">
        <v>9.8383696416022397E-3</v>
      </c>
    </row>
    <row r="2088" spans="1:5" x14ac:dyDescent="0.3">
      <c r="A2088" t="str">
        <f>HYPERLINK("https://anilist.co/staff/225612","Staff: Tadakazu Hiraga (Producer)")</f>
        <v>Staff: Tadakazu Hiraga (Producer)</v>
      </c>
      <c r="B2088" s="5">
        <v>70</v>
      </c>
      <c r="C2088" s="9">
        <v>1</v>
      </c>
      <c r="D2088" s="6">
        <v>1.4054813773717499E-4</v>
      </c>
      <c r="E2088" s="7">
        <v>9.8383696416022397E-3</v>
      </c>
    </row>
    <row r="2089" spans="1:5" x14ac:dyDescent="0.3">
      <c r="A2089" t="str">
        <f>HYPERLINK("https://anilist.co/staff/215016","Staff: Siman Wei (Assistant Art Director)")</f>
        <v>Staff: Siman Wei (Assistant Art Director)</v>
      </c>
      <c r="B2089" s="5">
        <v>70</v>
      </c>
      <c r="C2089" s="9">
        <v>1</v>
      </c>
      <c r="D2089" s="6">
        <v>1.4054813773717499E-4</v>
      </c>
      <c r="E2089" s="7">
        <v>9.8383696416022397E-3</v>
      </c>
    </row>
    <row r="2090" spans="1:5" x14ac:dyDescent="0.3">
      <c r="A2090" t="str">
        <f>HYPERLINK("https://anilist.co/staff/157905","Staff: Miho Hora (Production Desk)")</f>
        <v>Staff: Miho Hora (Production Desk)</v>
      </c>
      <c r="B2090" s="5">
        <v>70</v>
      </c>
      <c r="C2090" s="9">
        <v>1</v>
      </c>
      <c r="D2090" s="6">
        <v>1.4054813773717499E-4</v>
      </c>
      <c r="E2090" s="7">
        <v>9.8383696416022397E-3</v>
      </c>
    </row>
    <row r="2091" spans="1:5" x14ac:dyDescent="0.3">
      <c r="A2091" t="str">
        <f>HYPERLINK("https://anilist.co/staff/120128","Staff: Kengo Kawazoe (Sound Director)")</f>
        <v>Staff: Kengo Kawazoe (Sound Director)</v>
      </c>
      <c r="B2091" s="5">
        <v>70</v>
      </c>
      <c r="C2091" s="9">
        <v>1</v>
      </c>
      <c r="D2091" s="6">
        <v>1.4054813773717499E-4</v>
      </c>
      <c r="E2091" s="7">
        <v>9.8383696416022397E-3</v>
      </c>
    </row>
    <row r="2092" spans="1:5" x14ac:dyDescent="0.3">
      <c r="A2092" t="str">
        <f>HYPERLINK("https://anilist.co/staff/145489","Staff: Rei Ueno (Sound Effects)")</f>
        <v>Staff: Rei Ueno (Sound Effects)</v>
      </c>
      <c r="B2092" s="5">
        <v>70</v>
      </c>
      <c r="C2092" s="9">
        <v>1</v>
      </c>
      <c r="D2092" s="6">
        <v>1.4054813773717499E-4</v>
      </c>
      <c r="E2092" s="7">
        <v>9.8383696416022397E-3</v>
      </c>
    </row>
    <row r="2093" spans="1:5" x14ac:dyDescent="0.3">
      <c r="A2093" t="str">
        <f>HYPERLINK("https://anilist.co/staff/146521","Staff: Satoru Kuwabara (Music Producer)")</f>
        <v>Staff: Satoru Kuwabara (Music Producer)</v>
      </c>
      <c r="B2093" s="5">
        <v>70</v>
      </c>
      <c r="C2093" s="9">
        <v>1</v>
      </c>
      <c r="D2093" s="6">
        <v>1.4054813773717499E-4</v>
      </c>
      <c r="E2093" s="7">
        <v>9.8383696416022397E-3</v>
      </c>
    </row>
    <row r="2094" spans="1:5" x14ac:dyDescent="0.3">
      <c r="A2094" t="str">
        <f>HYPERLINK("https://anilist.co/staff/175160","Staff: Rio Mitsuyama (Recording Assistant)")</f>
        <v>Staff: Rio Mitsuyama (Recording Assistant)</v>
      </c>
      <c r="B2094" s="5">
        <v>70</v>
      </c>
      <c r="C2094" s="9">
        <v>1</v>
      </c>
      <c r="D2094" s="6">
        <v>1.4054813773717499E-4</v>
      </c>
      <c r="E2094" s="7">
        <v>9.8383696416022397E-3</v>
      </c>
    </row>
    <row r="2095" spans="1:5" x14ac:dyDescent="0.3">
      <c r="A2095" t="str">
        <f>HYPERLINK("https://anilist.co/staff/132904","Staff: Takumi Sunakohara (Key Animation (ep 2))")</f>
        <v>Staff: Takumi Sunakohara (Key Animation (ep 2))</v>
      </c>
      <c r="B2095" s="5">
        <v>70</v>
      </c>
      <c r="C2095" s="9">
        <v>1</v>
      </c>
      <c r="D2095" s="6">
        <v>1.4054813773717499E-4</v>
      </c>
      <c r="E2095" s="7">
        <v>9.8383696416022397E-3</v>
      </c>
    </row>
    <row r="2096" spans="1:5" x14ac:dyDescent="0.3">
      <c r="A2096" t="str">
        <f>HYPERLINK("https://anilist.co/staff/121745","Staff: Yuuki Ogawa (Episode Director (eps 1-12))")</f>
        <v>Staff: Yuuki Ogawa (Episode Director (eps 1-12))</v>
      </c>
      <c r="B2096" s="5">
        <v>70</v>
      </c>
      <c r="C2096" s="9">
        <v>1</v>
      </c>
      <c r="D2096" s="6">
        <v>1.4054813773717499E-4</v>
      </c>
      <c r="E2096" s="7">
        <v>9.8383696416022397E-3</v>
      </c>
    </row>
    <row r="2097" spans="1:5" x14ac:dyDescent="0.3">
      <c r="A2097" t="str">
        <f>HYPERLINK("https://anilist.co/staff/152040","Staff: Takuya Noshiro (Editing)")</f>
        <v>Staff: Takuya Noshiro (Editing)</v>
      </c>
      <c r="B2097" s="5">
        <v>70</v>
      </c>
      <c r="C2097" s="9">
        <v>1</v>
      </c>
      <c r="D2097" s="6">
        <v>1.4054813773717499E-4</v>
      </c>
      <c r="E2097" s="7">
        <v>9.8383696416022397E-3</v>
      </c>
    </row>
    <row r="2098" spans="1:5" x14ac:dyDescent="0.3">
      <c r="A2098" t="str">
        <f>HYPERLINK("https://anilist.co/staff/131876","Staff: Hideyuki Saida (Production Committee)")</f>
        <v>Staff: Hideyuki Saida (Production Committee)</v>
      </c>
      <c r="B2098" s="5">
        <v>70</v>
      </c>
      <c r="C2098" s="9">
        <v>1</v>
      </c>
      <c r="D2098" s="6">
        <v>1.4054813773717499E-4</v>
      </c>
      <c r="E2098" s="7">
        <v>9.8383696416022397E-3</v>
      </c>
    </row>
    <row r="2099" spans="1:5" x14ac:dyDescent="0.3">
      <c r="A2099" t="str">
        <f>HYPERLINK("https://anilist.co/staff/112047","Staff: Tatsuya Yoshihara (Storyboard (OP))")</f>
        <v>Staff: Tatsuya Yoshihara (Storyboard (OP))</v>
      </c>
      <c r="B2099" s="5">
        <v>70</v>
      </c>
      <c r="C2099" s="9">
        <v>1</v>
      </c>
      <c r="D2099" s="6">
        <v>1.4054813773717499E-4</v>
      </c>
      <c r="E2099" s="7">
        <v>9.8383696416022397E-3</v>
      </c>
    </row>
    <row r="2100" spans="1:5" x14ac:dyDescent="0.3">
      <c r="A2100" t="str">
        <f>HYPERLINK("https://anilist.co/staff/133716","Staff: Atsuki Shimizu (Character Design)")</f>
        <v>Staff: Atsuki Shimizu (Character Design)</v>
      </c>
      <c r="B2100" s="5">
        <v>70</v>
      </c>
      <c r="C2100" s="9">
        <v>1</v>
      </c>
      <c r="D2100" s="6">
        <v>1.4054813773717499E-4</v>
      </c>
      <c r="E2100" s="7">
        <v>9.8383696416022397E-3</v>
      </c>
    </row>
    <row r="2101" spans="1:5" x14ac:dyDescent="0.3">
      <c r="A2101" t="str">
        <f>HYPERLINK("https://anilist.co/staff/134265","Staff: Nobuhiro Nagata (Key Animation (ep 11))")</f>
        <v>Staff: Nobuhiro Nagata (Key Animation (ep 11))</v>
      </c>
      <c r="B2101" s="5">
        <v>70</v>
      </c>
      <c r="C2101" s="9">
        <v>1</v>
      </c>
      <c r="D2101" s="6">
        <v>1.4054813773717499E-4</v>
      </c>
      <c r="E2101" s="7">
        <v>9.8383696416022397E-3</v>
      </c>
    </row>
    <row r="2102" spans="1:5" x14ac:dyDescent="0.3">
      <c r="A2102" t="str">
        <f>HYPERLINK("https://anilist.co/staff/101187","Staff: Takahiro Yoshimatsu (Character Design)")</f>
        <v>Staff: Takahiro Yoshimatsu (Character Design)</v>
      </c>
      <c r="B2102" s="5">
        <v>70</v>
      </c>
      <c r="C2102" s="9">
        <v>1</v>
      </c>
      <c r="D2102" s="6">
        <v>1.4054813773717499E-4</v>
      </c>
      <c r="E2102" s="7">
        <v>9.8383696416022397E-3</v>
      </c>
    </row>
    <row r="2103" spans="1:5" x14ac:dyDescent="0.3">
      <c r="A2103" t="str">
        <f>HYPERLINK("https://anilist.co/staff/119069","Staff: Kugane Maruyama (Original Story)")</f>
        <v>Staff: Kugane Maruyama (Original Story)</v>
      </c>
      <c r="B2103" s="5">
        <v>70</v>
      </c>
      <c r="C2103" s="9">
        <v>1</v>
      </c>
      <c r="D2103" s="6">
        <v>1.4054813773717499E-4</v>
      </c>
      <c r="E2103" s="7">
        <v>9.8383696416022397E-3</v>
      </c>
    </row>
    <row r="2104" spans="1:5" x14ac:dyDescent="0.3">
      <c r="A2104" t="str">
        <f>HYPERLINK("https://anilist.co/staff/119090","Staff: so-bin (Original Character Design)")</f>
        <v>Staff: so-bin (Original Character Design)</v>
      </c>
      <c r="B2104" s="5">
        <v>70</v>
      </c>
      <c r="C2104" s="9">
        <v>1</v>
      </c>
      <c r="D2104" s="6">
        <v>1.4054813773717499E-4</v>
      </c>
      <c r="E2104" s="7">
        <v>9.8383696416022397E-3</v>
      </c>
    </row>
    <row r="2105" spans="1:5" x14ac:dyDescent="0.3">
      <c r="A2105" t="str">
        <f>HYPERLINK("https://anilist.co/staff/119976","Staff: MYTH &amp; ROID (Theme Song Performance (ED))")</f>
        <v>Staff: MYTH &amp; ROID (Theme Song Performance (ED))</v>
      </c>
      <c r="B2105" s="5">
        <v>70</v>
      </c>
      <c r="C2105" s="9">
        <v>1</v>
      </c>
      <c r="D2105" s="6">
        <v>1.4054813773717499E-4</v>
      </c>
      <c r="E2105" s="7">
        <v>9.8383696416022397E-3</v>
      </c>
    </row>
    <row r="2106" spans="1:5" x14ac:dyDescent="0.3">
      <c r="A2106" t="str">
        <f>HYPERLINK("https://anilist.co/staff/121193","Staff: Naoyuki Itou (Director)")</f>
        <v>Staff: Naoyuki Itou (Director)</v>
      </c>
      <c r="B2106" s="5">
        <v>70</v>
      </c>
      <c r="C2106" s="9">
        <v>1</v>
      </c>
      <c r="D2106" s="6">
        <v>1.4054813773717499E-4</v>
      </c>
      <c r="E2106" s="7">
        <v>9.8383696416022397E-3</v>
      </c>
    </row>
    <row r="2107" spans="1:5" x14ac:dyDescent="0.3">
      <c r="A2107" t="str">
        <f>HYPERLINK("https://anilist.co/staff/121193","Staff: Naoyuki Itou (Storyboard (OP, eps 1, 3, 12, 13))")</f>
        <v>Staff: Naoyuki Itou (Storyboard (OP, eps 1, 3, 12, 13))</v>
      </c>
      <c r="B2107" s="5">
        <v>70</v>
      </c>
      <c r="C2107" s="9">
        <v>1</v>
      </c>
      <c r="D2107" s="6">
        <v>1.4054813773717499E-4</v>
      </c>
      <c r="E2107" s="7">
        <v>9.8383696416022397E-3</v>
      </c>
    </row>
    <row r="2108" spans="1:5" x14ac:dyDescent="0.3">
      <c r="A2108" t="str">
        <f>HYPERLINK("https://anilist.co/staff/121193","Staff: Naoyuki Itou (Episode Director (ep 3))")</f>
        <v>Staff: Naoyuki Itou (Episode Director (ep 3))</v>
      </c>
      <c r="B2108" s="5">
        <v>70</v>
      </c>
      <c r="C2108" s="9">
        <v>1</v>
      </c>
      <c r="D2108" s="6">
        <v>1.4054813773717499E-4</v>
      </c>
      <c r="E2108" s="7">
        <v>9.8383696416022397E-3</v>
      </c>
    </row>
    <row r="2109" spans="1:5" x14ac:dyDescent="0.3">
      <c r="A2109" t="str">
        <f>HYPERLINK("https://anilist.co/staff/121193","Staff: Naoyuki Itou (Unit Director (OP))")</f>
        <v>Staff: Naoyuki Itou (Unit Director (OP))</v>
      </c>
      <c r="B2109" s="5">
        <v>70</v>
      </c>
      <c r="C2109" s="9">
        <v>1</v>
      </c>
      <c r="D2109" s="6">
        <v>1.4054813773717499E-4</v>
      </c>
      <c r="E2109" s="7">
        <v>9.8383696416022397E-3</v>
      </c>
    </row>
    <row r="2110" spans="1:5" x14ac:dyDescent="0.3">
      <c r="A2110" t="str">
        <f>HYPERLINK("https://anilist.co/staff/121844","Staff: Yukie Sugawara (Script)")</f>
        <v>Staff: Yukie Sugawara (Script)</v>
      </c>
      <c r="B2110" s="5">
        <v>70</v>
      </c>
      <c r="C2110" s="9">
        <v>1</v>
      </c>
      <c r="D2110" s="6">
        <v>1.4054813773717499E-4</v>
      </c>
      <c r="E2110" s="7">
        <v>9.8383696416022397E-3</v>
      </c>
    </row>
    <row r="2111" spans="1:5" x14ac:dyDescent="0.3">
      <c r="A2111" t="str">
        <f>HYPERLINK("https://anilist.co/staff/121844","Staff: Yukie Sugawara (Series Composition)")</f>
        <v>Staff: Yukie Sugawara (Series Composition)</v>
      </c>
      <c r="B2111" s="5">
        <v>70</v>
      </c>
      <c r="C2111" s="9">
        <v>1</v>
      </c>
      <c r="D2111" s="6">
        <v>1.4054813773717499E-4</v>
      </c>
      <c r="E2111" s="7">
        <v>9.8383696416022397E-3</v>
      </c>
    </row>
    <row r="2112" spans="1:5" x14ac:dyDescent="0.3">
      <c r="A2112" t="str">
        <f>HYPERLINK("https://anilist.co/staff/121856","Staff: Fumiyuki Gou (Sound Director)")</f>
        <v>Staff: Fumiyuki Gou (Sound Director)</v>
      </c>
      <c r="B2112" s="5">
        <v>70</v>
      </c>
      <c r="C2112" s="9">
        <v>1</v>
      </c>
      <c r="D2112" s="6">
        <v>1.4054813773717499E-4</v>
      </c>
      <c r="E2112" s="7">
        <v>9.8383696416022397E-3</v>
      </c>
    </row>
    <row r="2113" spans="1:5" x14ac:dyDescent="0.3">
      <c r="A2113" t="str">
        <f>HYPERLINK("https://anilist.co/staff/124672","Staff: Ryouichi Kuraya (Storyboard (eps 6, 11))")</f>
        <v>Staff: Ryouichi Kuraya (Storyboard (eps 6, 11))</v>
      </c>
      <c r="B2113" s="5">
        <v>70</v>
      </c>
      <c r="C2113" s="9">
        <v>1</v>
      </c>
      <c r="D2113" s="6">
        <v>1.4054813773717499E-4</v>
      </c>
      <c r="E2113" s="7">
        <v>9.8383696416022397E-3</v>
      </c>
    </row>
    <row r="2114" spans="1:5" x14ac:dyDescent="0.3">
      <c r="A2114" t="str">
        <f>HYPERLINK("https://anilist.co/staff/124672","Staff: Ryouichi Kuraya (Episode Director (eps 6, 11))")</f>
        <v>Staff: Ryouichi Kuraya (Episode Director (eps 6, 11))</v>
      </c>
      <c r="B2114" s="5">
        <v>70</v>
      </c>
      <c r="C2114" s="9">
        <v>1</v>
      </c>
      <c r="D2114" s="6">
        <v>1.4054813773717499E-4</v>
      </c>
      <c r="E2114" s="7">
        <v>9.8383696416022397E-3</v>
      </c>
    </row>
    <row r="2115" spans="1:5" x14ac:dyDescent="0.3">
      <c r="A2115" t="str">
        <f>HYPERLINK("https://anilist.co/staff/127401","Staff: OxT (Theme Song Performance (OP))")</f>
        <v>Staff: OxT (Theme Song Performance (OP))</v>
      </c>
      <c r="B2115" s="5">
        <v>70</v>
      </c>
      <c r="C2115" s="9">
        <v>1</v>
      </c>
      <c r="D2115" s="6">
        <v>1.4054813773717499E-4</v>
      </c>
      <c r="E2115" s="7">
        <v>9.8383696416022397E-3</v>
      </c>
    </row>
    <row r="2116" spans="1:5" x14ac:dyDescent="0.3">
      <c r="A2116" t="str">
        <f>HYPERLINK("https://anilist.co/staff/162286","Staff: Grégory Laisné (ADR Director (French))")</f>
        <v>Staff: Grégory Laisné (ADR Director (French))</v>
      </c>
      <c r="B2116" s="5">
        <v>70</v>
      </c>
      <c r="C2116" s="9">
        <v>1</v>
      </c>
      <c r="D2116" s="6">
        <v>1.4054813773717499E-4</v>
      </c>
      <c r="E2116" s="7">
        <v>9.8383696416022397E-3</v>
      </c>
    </row>
    <row r="2117" spans="1:5" x14ac:dyDescent="0.3">
      <c r="A2117" t="str">
        <f>HYPERLINK("https://anilist.co/staff/144432","Staff: Juuki Izumo (Monster Design)")</f>
        <v>Staff: Juuki Izumo (Monster Design)</v>
      </c>
      <c r="B2117" s="5">
        <v>70</v>
      </c>
      <c r="C2117" s="9">
        <v>1</v>
      </c>
      <c r="D2117" s="6">
        <v>1.4054813773717499E-4</v>
      </c>
      <c r="E2117" s="7">
        <v>9.8383696416022397E-3</v>
      </c>
    </row>
    <row r="2118" spans="1:5" x14ac:dyDescent="0.3">
      <c r="A2118" t="str">
        <f>HYPERLINK("https://anilist.co/staff/151108","Staff: Momoko Maehara (Sub Character Design)")</f>
        <v>Staff: Momoko Maehara (Sub Character Design)</v>
      </c>
      <c r="B2118" s="5">
        <v>70</v>
      </c>
      <c r="C2118" s="9">
        <v>1</v>
      </c>
      <c r="D2118" s="6">
        <v>1.4054813773717499E-4</v>
      </c>
      <c r="E2118" s="7">
        <v>9.8383696416022397E-3</v>
      </c>
    </row>
    <row r="2119" spans="1:5" x14ac:dyDescent="0.3">
      <c r="A2119" t="str">
        <f>HYPERLINK("https://anilist.co/staff/146149","Staff: Yukie Noguchi (Color Design)")</f>
        <v>Staff: Yukie Noguchi (Color Design)</v>
      </c>
      <c r="B2119" s="5">
        <v>70</v>
      </c>
      <c r="C2119" s="9">
        <v>1</v>
      </c>
      <c r="D2119" s="6">
        <v>1.4054813773717499E-4</v>
      </c>
      <c r="E2119" s="7">
        <v>9.8383696416022397E-3</v>
      </c>
    </row>
    <row r="2120" spans="1:5" x14ac:dyDescent="0.3">
      <c r="A2120" t="str">
        <f>HYPERLINK("https://anilist.co/staff/136064","Staff: Kayoko Tomono (Art Design)")</f>
        <v>Staff: Kayoko Tomono (Art Design)</v>
      </c>
      <c r="B2120" s="5">
        <v>70</v>
      </c>
      <c r="C2120" s="9">
        <v>1</v>
      </c>
      <c r="D2120" s="6">
        <v>1.4054813773717499E-4</v>
      </c>
      <c r="E2120" s="7">
        <v>9.8383696416022397E-3</v>
      </c>
    </row>
    <row r="2121" spans="1:5" x14ac:dyDescent="0.3">
      <c r="A2121" t="str">
        <f>HYPERLINK("https://anilist.co/staff/144432","Staff: Juuki Izumo (Sub Character Design)")</f>
        <v>Staff: Juuki Izumo (Sub Character Design)</v>
      </c>
      <c r="B2121" s="5">
        <v>70</v>
      </c>
      <c r="C2121" s="9">
        <v>1</v>
      </c>
      <c r="D2121" s="6">
        <v>1.4054813773717499E-4</v>
      </c>
      <c r="E2121" s="7">
        <v>9.8383696416022397E-3</v>
      </c>
    </row>
    <row r="2122" spans="1:5" x14ac:dyDescent="0.3">
      <c r="A2122" t="str">
        <f>HYPERLINK("https://anilist.co/staff/151108","Staff: Momoko Maehara (Monster Design)")</f>
        <v>Staff: Momoko Maehara (Monster Design)</v>
      </c>
      <c r="B2122" s="5">
        <v>70</v>
      </c>
      <c r="C2122" s="9">
        <v>1</v>
      </c>
      <c r="D2122" s="6">
        <v>1.4054813773717499E-4</v>
      </c>
      <c r="E2122" s="7">
        <v>9.8383696416022397E-3</v>
      </c>
    </row>
    <row r="2123" spans="1:5" x14ac:dyDescent="0.3">
      <c r="A2123" t="str">
        <f>HYPERLINK("https://anilist.co/staff/151108","Staff: Momoko Maehara (Prop Design)")</f>
        <v>Staff: Momoko Maehara (Prop Design)</v>
      </c>
      <c r="B2123" s="5">
        <v>70</v>
      </c>
      <c r="C2123" s="9">
        <v>1</v>
      </c>
      <c r="D2123" s="6">
        <v>1.4054813773717499E-4</v>
      </c>
      <c r="E2123" s="7">
        <v>9.8383696416022397E-3</v>
      </c>
    </row>
    <row r="2124" spans="1:5" x14ac:dyDescent="0.3">
      <c r="A2124" t="str">
        <f>HYPERLINK("https://anilist.co/staff/144432","Staff: Juuki Izumo (Prop Design)")</f>
        <v>Staff: Juuki Izumo (Prop Design)</v>
      </c>
      <c r="B2124" s="5">
        <v>70</v>
      </c>
      <c r="C2124" s="9">
        <v>1</v>
      </c>
      <c r="D2124" s="6">
        <v>1.4054813773717499E-4</v>
      </c>
      <c r="E2124" s="7">
        <v>9.8383696416022397E-3</v>
      </c>
    </row>
    <row r="2125" spans="1:5" x14ac:dyDescent="0.3">
      <c r="A2125" t="str">
        <f>HYPERLINK("https://anilist.co/staff/110107","Staff: Naokatsu Tsuda (Director)")</f>
        <v>Staff: Naokatsu Tsuda (Director)</v>
      </c>
      <c r="B2125" s="5">
        <v>70</v>
      </c>
      <c r="C2125" s="9">
        <v>1</v>
      </c>
      <c r="D2125" s="6">
        <v>1.4054813773717499E-4</v>
      </c>
      <c r="E2125" s="7">
        <v>9.8383696416022397E-3</v>
      </c>
    </row>
    <row r="2126" spans="1:5" x14ac:dyDescent="0.3">
      <c r="A2126" t="str">
        <f>HYPERLINK("https://anilist.co/staff/110107","Staff: Naokatsu Tsuda (Script)")</f>
        <v>Staff: Naokatsu Tsuda (Script)</v>
      </c>
      <c r="B2126" s="5">
        <v>70</v>
      </c>
      <c r="C2126" s="9">
        <v>1</v>
      </c>
      <c r="D2126" s="6">
        <v>1.4054813773717499E-4</v>
      </c>
      <c r="E2126" s="7">
        <v>9.8383696416022397E-3</v>
      </c>
    </row>
    <row r="2127" spans="1:5" x14ac:dyDescent="0.3">
      <c r="A2127" t="str">
        <f>HYPERLINK("https://anilist.co/staff/118776","Staff: Shougo Yasukawa (Script)")</f>
        <v>Staff: Shougo Yasukawa (Script)</v>
      </c>
      <c r="B2127" s="5">
        <v>70</v>
      </c>
      <c r="C2127" s="9">
        <v>1</v>
      </c>
      <c r="D2127" s="6">
        <v>1.4054813773717499E-4</v>
      </c>
      <c r="E2127" s="7">
        <v>9.8383696416022397E-3</v>
      </c>
    </row>
    <row r="2128" spans="1:5" x14ac:dyDescent="0.3">
      <c r="A2128" t="str">
        <f>HYPERLINK("https://anilist.co/staff/119876","Staff: Katsuichi Nakayama (Series Director)")</f>
        <v>Staff: Katsuichi Nakayama (Series Director)</v>
      </c>
      <c r="B2128" s="5">
        <v>70</v>
      </c>
      <c r="C2128" s="9">
        <v>1</v>
      </c>
      <c r="D2128" s="6">
        <v>1.4054813773717499E-4</v>
      </c>
      <c r="E2128" s="7">
        <v>9.8383696416022397E-3</v>
      </c>
    </row>
    <row r="2129" spans="1:5" x14ac:dyDescent="0.3">
      <c r="A2129" t="str">
        <f>HYPERLINK("https://anilist.co/staff/119877","Staff: Shunsuke Machitani (Series Director)")</f>
        <v>Staff: Shunsuke Machitani (Series Director)</v>
      </c>
      <c r="B2129" s="5">
        <v>70</v>
      </c>
      <c r="C2129" s="9">
        <v>1</v>
      </c>
      <c r="D2129" s="6">
        <v>1.4054813773717499E-4</v>
      </c>
      <c r="E2129" s="7">
        <v>9.8383696416022397E-3</v>
      </c>
    </row>
    <row r="2130" spans="1:5" x14ac:dyDescent="0.3">
      <c r="A2130" t="str">
        <f>HYPERLINK("https://anilist.co/staff/119878","Staff: Hitomi Takechi (Character Design)")</f>
        <v>Staff: Hitomi Takechi (Character Design)</v>
      </c>
      <c r="B2130" s="5">
        <v>70</v>
      </c>
      <c r="C2130" s="9">
        <v>1</v>
      </c>
      <c r="D2130" s="6">
        <v>1.4054813773717499E-4</v>
      </c>
      <c r="E2130" s="7">
        <v>9.8383696416022397E-3</v>
      </c>
    </row>
    <row r="2131" spans="1:5" x14ac:dyDescent="0.3">
      <c r="A2131" t="str">
        <f>HYPERLINK("https://anilist.co/staff/122862","Staff: Hiroshi Izumi (Art Design)")</f>
        <v>Staff: Hiroshi Izumi (Art Design)</v>
      </c>
      <c r="B2131" s="5">
        <v>70</v>
      </c>
      <c r="C2131" s="9">
        <v>1</v>
      </c>
      <c r="D2131" s="6">
        <v>1.4054813773717499E-4</v>
      </c>
      <c r="E2131" s="7">
        <v>9.8383696416022397E-3</v>
      </c>
    </row>
    <row r="2132" spans="1:5" x14ac:dyDescent="0.3">
      <c r="A2132" t="str">
        <f>HYPERLINK("https://anilist.co/staff/144781","Staff: Yuuko Sugiyama (Art Director)")</f>
        <v>Staff: Yuuko Sugiyama (Art Director)</v>
      </c>
      <c r="B2132" s="5">
        <v>70</v>
      </c>
      <c r="C2132" s="9">
        <v>1</v>
      </c>
      <c r="D2132" s="6">
        <v>1.4054813773717499E-4</v>
      </c>
      <c r="E2132" s="7">
        <v>9.8383696416022397E-3</v>
      </c>
    </row>
    <row r="2133" spans="1:5" x14ac:dyDescent="0.3">
      <c r="A2133" t="str">
        <f>HYPERLINK("https://anilist.co/staff/103626","Staff: Kanetake Ebikawa (Mechanical Design)")</f>
        <v>Staff: Kanetake Ebikawa (Mechanical Design)</v>
      </c>
      <c r="B2133" s="5">
        <v>70</v>
      </c>
      <c r="C2133" s="9">
        <v>1</v>
      </c>
      <c r="D2133" s="6">
        <v>1.4054813773717499E-4</v>
      </c>
      <c r="E2133" s="7">
        <v>9.8383696416022397E-3</v>
      </c>
    </row>
    <row r="2134" spans="1:5" x14ac:dyDescent="0.3">
      <c r="A2134" t="str">
        <f>HYPERLINK("https://anilist.co/staff/131500","Staff: Shinya Uchida (Prop Design)")</f>
        <v>Staff: Shinya Uchida (Prop Design)</v>
      </c>
      <c r="B2134" s="5">
        <v>70</v>
      </c>
      <c r="C2134" s="9">
        <v>1</v>
      </c>
      <c r="D2134" s="6">
        <v>1.4054813773717499E-4</v>
      </c>
      <c r="E2134" s="7">
        <v>9.8383696416022397E-3</v>
      </c>
    </row>
    <row r="2135" spans="1:5" x14ac:dyDescent="0.3">
      <c r="A2135" t="str">
        <f>HYPERLINK("https://anilist.co/staff/103102","Staff: Yuusuke Takeda (Art Director)")</f>
        <v>Staff: Yuusuke Takeda (Art Director)</v>
      </c>
      <c r="B2135" s="5">
        <v>70</v>
      </c>
      <c r="C2135" s="9">
        <v>1</v>
      </c>
      <c r="D2135" s="6">
        <v>1.4054813773717499E-4</v>
      </c>
      <c r="E2135" s="7">
        <v>9.8383696416022397E-3</v>
      </c>
    </row>
    <row r="2136" spans="1:5" x14ac:dyDescent="0.3">
      <c r="A2136" t="str">
        <f>HYPERLINK("https://anilist.co/staff/140951","Staff: Yuuko Satou (Color Design)")</f>
        <v>Staff: Yuuko Satou (Color Design)</v>
      </c>
      <c r="B2136" s="5">
        <v>70</v>
      </c>
      <c r="C2136" s="9">
        <v>1</v>
      </c>
      <c r="D2136" s="6">
        <v>1.4054813773717499E-4</v>
      </c>
      <c r="E2136" s="7">
        <v>9.8383696416022397E-3</v>
      </c>
    </row>
    <row r="2137" spans="1:5" x14ac:dyDescent="0.3">
      <c r="A2137" t="str">
        <f>HYPERLINK("https://anilist.co/staff/114775","Staff: Yoshiyuki Fujiwara (Director)")</f>
        <v>Staff: Yoshiyuki Fujiwara (Director)</v>
      </c>
      <c r="B2137" s="5">
        <v>70</v>
      </c>
      <c r="C2137" s="9">
        <v>1</v>
      </c>
      <c r="D2137" s="6">
        <v>1.4054813773717499E-4</v>
      </c>
      <c r="E2137" s="7">
        <v>9.8383696416022397E-3</v>
      </c>
    </row>
    <row r="2138" spans="1:5" x14ac:dyDescent="0.3">
      <c r="A2138" t="str">
        <f>HYPERLINK("https://anilist.co/staff/107442","Staff: Chiaki Nakajima (Character Design)")</f>
        <v>Staff: Chiaki Nakajima (Character Design)</v>
      </c>
      <c r="B2138" s="5">
        <v>70</v>
      </c>
      <c r="C2138" s="9">
        <v>1</v>
      </c>
      <c r="D2138" s="6">
        <v>1.4054813773717499E-4</v>
      </c>
      <c r="E2138" s="7">
        <v>9.8383696416022397E-3</v>
      </c>
    </row>
    <row r="2139" spans="1:5" x14ac:dyDescent="0.3">
      <c r="A2139" t="str">
        <f>HYPERLINK("https://anilist.co/staff/113603","Staff: okiura  (Original Character Design)")</f>
        <v>Staff: okiura  (Original Character Design)</v>
      </c>
      <c r="B2139" s="5">
        <v>70</v>
      </c>
      <c r="C2139" s="9">
        <v>1</v>
      </c>
      <c r="D2139" s="6">
        <v>1.4054813773717499E-4</v>
      </c>
      <c r="E2139" s="7">
        <v>9.8383696416022397E-3</v>
      </c>
    </row>
    <row r="2140" spans="1:5" x14ac:dyDescent="0.3">
      <c r="A2140" t="str">
        <f>HYPERLINK("https://anilist.co/staff/119169","Staff: Naotaka Hayashi (Original Story)")</f>
        <v>Staff: Naotaka Hayashi (Original Story)</v>
      </c>
      <c r="B2140" s="5">
        <v>70</v>
      </c>
      <c r="C2140" s="9">
        <v>1</v>
      </c>
      <c r="D2140" s="6">
        <v>1.4054813773717499E-4</v>
      </c>
      <c r="E2140" s="7">
        <v>9.8383696416022397E-3</v>
      </c>
    </row>
    <row r="2141" spans="1:5" x14ac:dyDescent="0.3">
      <c r="A2141" t="str">
        <f>HYPERLINK("https://anilist.co/staff/119169","Staff: Naotaka Hayashi (Script)")</f>
        <v>Staff: Naotaka Hayashi (Script)</v>
      </c>
      <c r="B2141" s="5">
        <v>70</v>
      </c>
      <c r="C2141" s="9">
        <v>1</v>
      </c>
      <c r="D2141" s="6">
        <v>1.4054813773717499E-4</v>
      </c>
      <c r="E2141" s="7">
        <v>9.8383696416022397E-3</v>
      </c>
    </row>
    <row r="2142" spans="1:5" x14ac:dyDescent="0.3">
      <c r="A2142" t="str">
        <f>HYPERLINK("https://anilist.co/staff/121793","Staff: Shinya Iino (Episode Director (ep 4))")</f>
        <v>Staff: Shinya Iino (Episode Director (ep 4))</v>
      </c>
      <c r="B2142" s="5">
        <v>70</v>
      </c>
      <c r="C2142" s="9">
        <v>1</v>
      </c>
      <c r="D2142" s="6">
        <v>1.4054813773717499E-4</v>
      </c>
      <c r="E2142" s="7">
        <v>9.8383696416022397E-3</v>
      </c>
    </row>
    <row r="2143" spans="1:5" x14ac:dyDescent="0.3">
      <c r="A2143" t="str">
        <f>HYPERLINK("https://anilist.co/staff/146424","Staff: Eri Sasaki (Theme Song Performance (OP))")</f>
        <v>Staff: Eri Sasaki (Theme Song Performance (OP))</v>
      </c>
      <c r="B2143" s="5">
        <v>70</v>
      </c>
      <c r="C2143" s="9">
        <v>1</v>
      </c>
      <c r="D2143" s="6">
        <v>1.4054813773717499E-4</v>
      </c>
      <c r="E2143" s="7">
        <v>9.8383696416022397E-3</v>
      </c>
    </row>
    <row r="2144" spans="1:5" x14ac:dyDescent="0.3">
      <c r="A2144" t="str">
        <f>HYPERLINK("https://anilist.co/staff/103662","Staff: Asami Imai (Theme Song Performance (ED2))")</f>
        <v>Staff: Asami Imai (Theme Song Performance (ED2))</v>
      </c>
      <c r="B2144" s="5">
        <v>70</v>
      </c>
      <c r="C2144" s="9">
        <v>1</v>
      </c>
      <c r="D2144" s="6">
        <v>1.4054813773717499E-4</v>
      </c>
      <c r="E2144" s="7">
        <v>9.8383696416022397E-3</v>
      </c>
    </row>
    <row r="2145" spans="1:5" x14ac:dyDescent="0.3">
      <c r="A2145" t="str">
        <f>HYPERLINK("https://anilist.co/staff/107442","Staff: Chiaki Nakajima (Chief Animation Director)")</f>
        <v>Staff: Chiaki Nakajima (Chief Animation Director)</v>
      </c>
      <c r="B2145" s="5">
        <v>70</v>
      </c>
      <c r="C2145" s="9">
        <v>1</v>
      </c>
      <c r="D2145" s="6">
        <v>1.4054813773717499E-4</v>
      </c>
      <c r="E2145" s="7">
        <v>9.8383696416022397E-3</v>
      </c>
    </row>
    <row r="2146" spans="1:5" x14ac:dyDescent="0.3">
      <c r="A2146" t="str">
        <f>HYPERLINK("https://anilist.co/staff/105224","Staff: Ai Kikuchi (Prop Design)")</f>
        <v>Staff: Ai Kikuchi (Prop Design)</v>
      </c>
      <c r="B2146" s="5">
        <v>70</v>
      </c>
      <c r="C2146" s="9">
        <v>1</v>
      </c>
      <c r="D2146" s="6">
        <v>1.4054813773717499E-4</v>
      </c>
      <c r="E2146" s="7">
        <v>9.8383696416022397E-3</v>
      </c>
    </row>
    <row r="2147" spans="1:5" x14ac:dyDescent="0.3">
      <c r="A2147" t="str">
        <f>HYPERLINK("https://anilist.co/staff/105224","Staff: Ai Kikuchi (Chief Animation Director)")</f>
        <v>Staff: Ai Kikuchi (Chief Animation Director)</v>
      </c>
      <c r="B2147" s="5">
        <v>70</v>
      </c>
      <c r="C2147" s="9">
        <v>1</v>
      </c>
      <c r="D2147" s="6">
        <v>1.4054813773717499E-4</v>
      </c>
      <c r="E2147" s="7">
        <v>9.8383696416022397E-3</v>
      </c>
    </row>
    <row r="2148" spans="1:5" x14ac:dyDescent="0.3">
      <c r="A2148" t="str">
        <f>HYPERLINK("https://anilist.co/staff/142022","Staff: Hiroshi Tani (Mechanical Design)")</f>
        <v>Staff: Hiroshi Tani (Mechanical Design)</v>
      </c>
      <c r="B2148" s="5">
        <v>70</v>
      </c>
      <c r="C2148" s="9">
        <v>1</v>
      </c>
      <c r="D2148" s="6">
        <v>1.4054813773717499E-4</v>
      </c>
      <c r="E2148" s="7">
        <v>9.8383696416022397E-3</v>
      </c>
    </row>
    <row r="2149" spans="1:5" x14ac:dyDescent="0.3">
      <c r="A2149" t="str">
        <f>HYPERLINK("https://anilist.co/staff/111053","Staff: Yasumasa Koyama (Sound Effects)")</f>
        <v>Staff: Yasumasa Koyama (Sound Effects)</v>
      </c>
      <c r="B2149" s="5">
        <v>70</v>
      </c>
      <c r="C2149" s="9">
        <v>1</v>
      </c>
      <c r="D2149" s="6">
        <v>1.4054813773717499E-4</v>
      </c>
      <c r="E2149" s="7">
        <v>9.8383696416022397E-3</v>
      </c>
    </row>
    <row r="2150" spans="1:5" x14ac:dyDescent="0.3">
      <c r="A2150" t="str">
        <f>HYPERLINK("https://anilist.co/staff/128901","Staff: Masaaki Kawaguchi (Art Director)")</f>
        <v>Staff: Masaaki Kawaguchi (Art Director)</v>
      </c>
      <c r="B2150" s="5">
        <v>70</v>
      </c>
      <c r="C2150" s="9">
        <v>1</v>
      </c>
      <c r="D2150" s="6">
        <v>1.4054813773717499E-4</v>
      </c>
      <c r="E2150" s="7">
        <v>9.8383696416022397E-3</v>
      </c>
    </row>
    <row r="2151" spans="1:5" x14ac:dyDescent="0.3">
      <c r="A2151" t="str">
        <f>HYPERLINK("https://anilist.co/staff/148672","Staff: Yoshihiro Watanabe (CG Director)")</f>
        <v>Staff: Yoshihiro Watanabe (CG Director)</v>
      </c>
      <c r="B2151" s="5">
        <v>70</v>
      </c>
      <c r="C2151" s="9">
        <v>1</v>
      </c>
      <c r="D2151" s="6">
        <v>1.4054813773717499E-4</v>
      </c>
      <c r="E2151" s="7">
        <v>9.8383696416022397E-3</v>
      </c>
    </row>
    <row r="2152" spans="1:5" x14ac:dyDescent="0.3">
      <c r="A2152" t="str">
        <f>HYPERLINK("https://anilist.co/staff/192612","Staff: Yuusuke Yamamoto (In-Between Animation)")</f>
        <v>Staff: Yuusuke Yamamoto (In-Between Animation)</v>
      </c>
      <c r="B2152" s="5">
        <v>70</v>
      </c>
      <c r="C2152" s="9">
        <v>1</v>
      </c>
      <c r="D2152" s="6">
        <v>1.4054813773717499E-4</v>
      </c>
      <c r="E2152" s="7">
        <v>9.8383696416022397E-3</v>
      </c>
    </row>
    <row r="2153" spans="1:5" x14ac:dyDescent="0.3">
      <c r="A2153" t="str">
        <f>HYPERLINK("https://anilist.co/staff/192612","Staff: Yuusuke Yamamoto (2nd Key Animation (eps 3, 8))")</f>
        <v>Staff: Yuusuke Yamamoto (2nd Key Animation (eps 3, 8))</v>
      </c>
      <c r="B2153" s="5">
        <v>70</v>
      </c>
      <c r="C2153" s="9">
        <v>1</v>
      </c>
      <c r="D2153" s="6">
        <v>1.4054813773717499E-4</v>
      </c>
      <c r="E2153" s="7">
        <v>9.8383696416022397E-3</v>
      </c>
    </row>
    <row r="2154" spans="1:5" x14ac:dyDescent="0.3">
      <c r="A2154" t="str">
        <f>HYPERLINK("https://anilist.co/staff/210321","Staff: Eri Akazawa (Key Animation (ep 4))")</f>
        <v>Staff: Eri Akazawa (Key Animation (ep 4))</v>
      </c>
      <c r="B2154" s="5">
        <v>70</v>
      </c>
      <c r="C2154" s="9">
        <v>1</v>
      </c>
      <c r="D2154" s="6">
        <v>1.4054813773717499E-4</v>
      </c>
      <c r="E2154" s="7">
        <v>9.8383696416022397E-3</v>
      </c>
    </row>
    <row r="2155" spans="1:5" x14ac:dyDescent="0.3">
      <c r="A2155" t="str">
        <f>HYPERLINK("https://anilist.co/staff/196686","Staff: Tsubomi Ishihara (Key Animation (OP, eps 5, 7-9, 11, 13))")</f>
        <v>Staff: Tsubomi Ishihara (Key Animation (OP, eps 5, 7-9, 11, 13))</v>
      </c>
      <c r="B2155" s="5">
        <v>70</v>
      </c>
      <c r="C2155" s="9">
        <v>1</v>
      </c>
      <c r="D2155" s="6">
        <v>1.4054813773717499E-4</v>
      </c>
      <c r="E2155" s="7">
        <v>9.8383696416022397E-3</v>
      </c>
    </row>
    <row r="2156" spans="1:5" x14ac:dyDescent="0.3">
      <c r="A2156" t="str">
        <f>HYPERLINK("https://anilist.co/staff/118885","Staff: Tappei  Nagatsuki (Original Story)")</f>
        <v>Staff: Tappei  Nagatsuki (Original Story)</v>
      </c>
      <c r="B2156" s="5">
        <v>70</v>
      </c>
      <c r="C2156" s="9">
        <v>1</v>
      </c>
      <c r="D2156" s="6">
        <v>1.4054813773717499E-4</v>
      </c>
      <c r="E2156" s="7">
        <v>9.8383696416022397E-3</v>
      </c>
    </row>
    <row r="2157" spans="1:5" x14ac:dyDescent="0.3">
      <c r="A2157" t="str">
        <f>HYPERLINK("https://anilist.co/staff/118886","Staff: Shinichirou Ootsuka (Original Character Design)")</f>
        <v>Staff: Shinichirou Ootsuka (Original Character Design)</v>
      </c>
      <c r="B2157" s="5">
        <v>70</v>
      </c>
      <c r="C2157" s="9">
        <v>1</v>
      </c>
      <c r="D2157" s="6">
        <v>1.4054813773717499E-4</v>
      </c>
      <c r="E2157" s="7">
        <v>9.8383696416022397E-3</v>
      </c>
    </row>
    <row r="2158" spans="1:5" x14ac:dyDescent="0.3">
      <c r="A2158" t="str">
        <f>HYPERLINK("https://anilist.co/staff/119974","Staff: Yoshiko Nakamura (Script (eps 6, 7, 9))")</f>
        <v>Staff: Yoshiko Nakamura (Script (eps 6, 7, 9))</v>
      </c>
      <c r="B2158" s="5">
        <v>70</v>
      </c>
      <c r="C2158" s="9">
        <v>1</v>
      </c>
      <c r="D2158" s="6">
        <v>1.4054813773717499E-4</v>
      </c>
      <c r="E2158" s="7">
        <v>9.8383696416022397E-3</v>
      </c>
    </row>
    <row r="2159" spans="1:5" x14ac:dyDescent="0.3">
      <c r="A2159" t="str">
        <f>HYPERLINK("https://anilist.co/staff/114175","Staff: Masahiro Yokotani (Script (eps 1-5, 8, 10, 11))")</f>
        <v>Staff: Masahiro Yokotani (Script (eps 1-5, 8, 10, 11))</v>
      </c>
      <c r="B2159" s="5">
        <v>70</v>
      </c>
      <c r="C2159" s="9">
        <v>1</v>
      </c>
      <c r="D2159" s="6">
        <v>1.4054813773717499E-4</v>
      </c>
      <c r="E2159" s="7">
        <v>9.8383696416022397E-3</v>
      </c>
    </row>
    <row r="2160" spans="1:5" x14ac:dyDescent="0.3">
      <c r="A2160" t="str">
        <f>HYPERLINK("https://anilist.co/staff/119198","Staff: Yoshito Takamine (Art Director)")</f>
        <v>Staff: Yoshito Takamine (Art Director)</v>
      </c>
      <c r="B2160" s="5">
        <v>70</v>
      </c>
      <c r="C2160" s="9">
        <v>1</v>
      </c>
      <c r="D2160" s="6">
        <v>1.4054813773717499E-4</v>
      </c>
      <c r="E2160" s="7">
        <v>9.8383696416022397E-3</v>
      </c>
    </row>
    <row r="2161" spans="1:5" x14ac:dyDescent="0.3">
      <c r="A2161" t="str">
        <f>HYPERLINK("https://anilist.co/staff/110607","Staff: Konomi Suzuki (Theme Song Performance (OP1))")</f>
        <v>Staff: Konomi Suzuki (Theme Song Performance (OP1))</v>
      </c>
      <c r="B2161" s="5">
        <v>70</v>
      </c>
      <c r="C2161" s="9">
        <v>1</v>
      </c>
      <c r="D2161" s="6">
        <v>1.4054813773717499E-4</v>
      </c>
      <c r="E2161" s="7">
        <v>9.8383696416022397E-3</v>
      </c>
    </row>
    <row r="2162" spans="1:5" x14ac:dyDescent="0.3">
      <c r="A2162" t="str">
        <f>HYPERLINK("https://anilist.co/staff/119976","Staff: MYTH &amp; ROID (Theme Song Performance (ED1, ED2, ED4, OP2))")</f>
        <v>Staff: MYTH &amp; ROID (Theme Song Performance (ED1, ED2, ED4, OP2))</v>
      </c>
      <c r="B2162" s="5">
        <v>70</v>
      </c>
      <c r="C2162" s="9">
        <v>1</v>
      </c>
      <c r="D2162" s="6">
        <v>1.4054813773717499E-4</v>
      </c>
      <c r="E2162" s="7">
        <v>9.8383696416022397E-3</v>
      </c>
    </row>
    <row r="2163" spans="1:5" x14ac:dyDescent="0.3">
      <c r="A2163" t="str">
        <f>HYPERLINK("https://anilist.co/staff/119331","Staff: Rie Takahashi (Theme Song Performance (ED3))")</f>
        <v>Staff: Rie Takahashi (Theme Song Performance (ED3))</v>
      </c>
      <c r="B2163" s="5">
        <v>70</v>
      </c>
      <c r="C2163" s="9">
        <v>1</v>
      </c>
      <c r="D2163" s="6">
        <v>1.4054813773717499E-4</v>
      </c>
      <c r="E2163" s="7">
        <v>9.8383696416022397E-3</v>
      </c>
    </row>
    <row r="2164" spans="1:5" x14ac:dyDescent="0.3">
      <c r="A2164" t="str">
        <f>HYPERLINK("https://anilist.co/staff/121345","Staff: Daisuke Mataga (Animation Director (ep 15, 20))")</f>
        <v>Staff: Daisuke Mataga (Animation Director (ep 15, 20))</v>
      </c>
      <c r="B2164" s="5">
        <v>70</v>
      </c>
      <c r="C2164" s="9">
        <v>1</v>
      </c>
      <c r="D2164" s="6">
        <v>1.4054813773717499E-4</v>
      </c>
      <c r="E2164" s="7">
        <v>9.8383696416022397E-3</v>
      </c>
    </row>
    <row r="2165" spans="1:5" x14ac:dyDescent="0.3">
      <c r="A2165" t="str">
        <f>HYPERLINK("https://anilist.co/staff/121345","Staff: Daisuke Mataga (2nd Key Animation (ep 3, 13, 21, 22))")</f>
        <v>Staff: Daisuke Mataga (2nd Key Animation (ep 3, 13, 21, 22))</v>
      </c>
      <c r="B2165" s="5">
        <v>70</v>
      </c>
      <c r="C2165" s="9">
        <v>1</v>
      </c>
      <c r="D2165" s="6">
        <v>1.4054813773717499E-4</v>
      </c>
      <c r="E2165" s="7">
        <v>9.8383696416022397E-3</v>
      </c>
    </row>
    <row r="2166" spans="1:5" x14ac:dyDescent="0.3">
      <c r="A2166" t="str">
        <f>HYPERLINK("https://anilist.co/staff/121345","Staff: Daisuke Mataga (Key Animation (ep 9, 15, 20, 25))")</f>
        <v>Staff: Daisuke Mataga (Key Animation (ep 9, 15, 20, 25))</v>
      </c>
      <c r="B2166" s="5">
        <v>70</v>
      </c>
      <c r="C2166" s="9">
        <v>1</v>
      </c>
      <c r="D2166" s="6">
        <v>1.4054813773717499E-4</v>
      </c>
      <c r="E2166" s="7">
        <v>9.8383696416022397E-3</v>
      </c>
    </row>
    <row r="2167" spans="1:5" x14ac:dyDescent="0.3">
      <c r="A2167" t="str">
        <f>HYPERLINK("https://anilist.co/staff/121819","Staff: Manabu Okamoto (Storyboard (ED3, eps 5, 8))")</f>
        <v>Staff: Manabu Okamoto (Storyboard (ED3, eps 5, 8))</v>
      </c>
      <c r="B2167" s="5">
        <v>70</v>
      </c>
      <c r="C2167" s="9">
        <v>1</v>
      </c>
      <c r="D2167" s="6">
        <v>1.4054813773717499E-4</v>
      </c>
      <c r="E2167" s="7">
        <v>9.8383696416022397E-3</v>
      </c>
    </row>
    <row r="2168" spans="1:5" x14ac:dyDescent="0.3">
      <c r="A2168" t="str">
        <f>HYPERLINK("https://anilist.co/staff/121819","Staff: Manabu Okamoto (Episode Director (ED3, ep 8))")</f>
        <v>Staff: Manabu Okamoto (Episode Director (ED3, ep 8))</v>
      </c>
      <c r="B2168" s="5">
        <v>70</v>
      </c>
      <c r="C2168" s="9">
        <v>1</v>
      </c>
      <c r="D2168" s="6">
        <v>1.4054813773717499E-4</v>
      </c>
      <c r="E2168" s="7">
        <v>9.8383696416022397E-3</v>
      </c>
    </row>
    <row r="2169" spans="1:5" x14ac:dyDescent="0.3">
      <c r="A2169" t="str">
        <f>HYPERLINK("https://anilist.co/staff/121819","Staff: Manabu Okamoto (Key Animation (ep 8))")</f>
        <v>Staff: Manabu Okamoto (Key Animation (ep 8))</v>
      </c>
      <c r="B2169" s="5">
        <v>70</v>
      </c>
      <c r="C2169" s="9">
        <v>1</v>
      </c>
      <c r="D2169" s="6">
        <v>1.4054813773717499E-4</v>
      </c>
      <c r="E2169" s="7">
        <v>9.8383696416022397E-3</v>
      </c>
    </row>
    <row r="2170" spans="1:5" x14ac:dyDescent="0.3">
      <c r="A2170" t="str">
        <f>HYPERLINK("https://anilist.co/staff/122942","Staff: Nobuyoshi Nagayama (Storyboard (eps 13, 18, 22))")</f>
        <v>Staff: Nobuyoshi Nagayama (Storyboard (eps 13, 18, 22))</v>
      </c>
      <c r="B2170" s="5">
        <v>70</v>
      </c>
      <c r="C2170" s="9">
        <v>1</v>
      </c>
      <c r="D2170" s="6">
        <v>1.4054813773717499E-4</v>
      </c>
      <c r="E2170" s="7">
        <v>9.8383696416022397E-3</v>
      </c>
    </row>
    <row r="2171" spans="1:5" x14ac:dyDescent="0.3">
      <c r="A2171" t="str">
        <f>HYPERLINK("https://anilist.co/staff/123133","Staff: Yoshinobu Tokumoto (Episode Director (eps 4, 10))")</f>
        <v>Staff: Yoshinobu Tokumoto (Episode Director (eps 4, 10))</v>
      </c>
      <c r="B2171" s="5">
        <v>70</v>
      </c>
      <c r="C2171" s="9">
        <v>1</v>
      </c>
      <c r="D2171" s="6">
        <v>1.4054813773717499E-4</v>
      </c>
      <c r="E2171" s="7">
        <v>9.8383696416022397E-3</v>
      </c>
    </row>
    <row r="2172" spans="1:5" x14ac:dyDescent="0.3">
      <c r="A2172" t="str">
        <f>HYPERLINK("https://anilist.co/staff/118434","Staff: Keiko Saito (Key Animation (eps 4, 5, 10))")</f>
        <v>Staff: Keiko Saito (Key Animation (eps 4, 5, 10))</v>
      </c>
      <c r="B2172" s="5">
        <v>70</v>
      </c>
      <c r="C2172" s="9">
        <v>1</v>
      </c>
      <c r="D2172" s="6">
        <v>1.4054813773717499E-4</v>
      </c>
      <c r="E2172" s="7">
        <v>9.8383696416022397E-3</v>
      </c>
    </row>
    <row r="2173" spans="1:5" x14ac:dyDescent="0.3">
      <c r="A2173" t="str">
        <f>HYPERLINK("https://anilist.co/staff/121346","Staff: Ryousuke Kimiya (Animation Director (ep 15))")</f>
        <v>Staff: Ryousuke Kimiya (Animation Director (ep 15))</v>
      </c>
      <c r="B2173" s="5">
        <v>70</v>
      </c>
      <c r="C2173" s="9">
        <v>1</v>
      </c>
      <c r="D2173" s="6">
        <v>1.4054813773717499E-4</v>
      </c>
      <c r="E2173" s="7">
        <v>9.8383696416022397E-3</v>
      </c>
    </row>
    <row r="2174" spans="1:5" x14ac:dyDescent="0.3">
      <c r="A2174" t="str">
        <f>HYPERLINK("https://anilist.co/staff/121346","Staff: Ryousuke Kimiya (2nd Key Animation (eps 2, 16))")</f>
        <v>Staff: Ryousuke Kimiya (2nd Key Animation (eps 2, 16))</v>
      </c>
      <c r="B2174" s="5">
        <v>70</v>
      </c>
      <c r="C2174" s="9">
        <v>1</v>
      </c>
      <c r="D2174" s="6">
        <v>1.4054813773717499E-4</v>
      </c>
      <c r="E2174" s="7">
        <v>9.8383696416022397E-3</v>
      </c>
    </row>
    <row r="2175" spans="1:5" x14ac:dyDescent="0.3">
      <c r="A2175" t="str">
        <f>HYPERLINK("https://anilist.co/staff/121346","Staff: Ryousuke Kimiya (Key Animation (ep 9))")</f>
        <v>Staff: Ryousuke Kimiya (Key Animation (ep 9))</v>
      </c>
      <c r="B2175" s="5">
        <v>70</v>
      </c>
      <c r="C2175" s="9">
        <v>1</v>
      </c>
      <c r="D2175" s="6">
        <v>1.4054813773717499E-4</v>
      </c>
      <c r="E2175" s="7">
        <v>9.8383696416022397E-3</v>
      </c>
    </row>
    <row r="2176" spans="1:5" x14ac:dyDescent="0.3">
      <c r="A2176" t="str">
        <f>HYPERLINK("https://anilist.co/staff/118442","Staff: Kenichi Kawamura (Storyboard (ep 2))")</f>
        <v>Staff: Kenichi Kawamura (Storyboard (ep 2))</v>
      </c>
      <c r="B2176" s="5">
        <v>70</v>
      </c>
      <c r="C2176" s="9">
        <v>1</v>
      </c>
      <c r="D2176" s="6">
        <v>1.4054813773717499E-4</v>
      </c>
      <c r="E2176" s="7">
        <v>9.8383696416022397E-3</v>
      </c>
    </row>
    <row r="2177" spans="1:5" x14ac:dyDescent="0.3">
      <c r="A2177" t="str">
        <f>HYPERLINK("https://anilist.co/staff/118806","Staff: Lynn  (Theme Song Performance (ED))")</f>
        <v>Staff: Lynn  (Theme Song Performance (ED))</v>
      </c>
      <c r="B2177" s="5">
        <v>70</v>
      </c>
      <c r="C2177" s="9">
        <v>1</v>
      </c>
      <c r="D2177" s="6">
        <v>1.4054813773717499E-4</v>
      </c>
      <c r="E2177" s="7">
        <v>9.8383696416022397E-3</v>
      </c>
    </row>
    <row r="2178" spans="1:5" x14ac:dyDescent="0.3">
      <c r="A2178" t="str">
        <f>HYPERLINK("https://anilist.co/staff/110903","Staff: Ayaka Oohashi (Theme Song Performance (OP, ED))")</f>
        <v>Staff: Ayaka Oohashi (Theme Song Performance (OP, ED))</v>
      </c>
      <c r="B2178" s="5">
        <v>70</v>
      </c>
      <c r="C2178" s="9">
        <v>1</v>
      </c>
      <c r="D2178" s="6">
        <v>1.4054813773717499E-4</v>
      </c>
      <c r="E2178" s="7">
        <v>9.8383696416022397E-3</v>
      </c>
    </row>
    <row r="2179" spans="1:5" x14ac:dyDescent="0.3">
      <c r="A2179" t="str">
        <f>HYPERLINK("https://anilist.co/staff/107041","Staff: Rumi Ookubo (Theme Song Performance (ED))")</f>
        <v>Staff: Rumi Ookubo (Theme Song Performance (ED))</v>
      </c>
      <c r="B2179" s="5">
        <v>70</v>
      </c>
      <c r="C2179" s="9">
        <v>1</v>
      </c>
      <c r="D2179" s="6">
        <v>1.4054813773717499E-4</v>
      </c>
      <c r="E2179" s="7">
        <v>9.8383696416022397E-3</v>
      </c>
    </row>
    <row r="2180" spans="1:5" x14ac:dyDescent="0.3">
      <c r="A2180" t="str">
        <f>HYPERLINK("https://anilist.co/staff/106784","Staff: Yumi Uchiyama (Theme Song Performance (ED))")</f>
        <v>Staff: Yumi Uchiyama (Theme Song Performance (ED))</v>
      </c>
      <c r="B2180" s="5">
        <v>70</v>
      </c>
      <c r="C2180" s="9">
        <v>1</v>
      </c>
      <c r="D2180" s="6">
        <v>1.4054813773717499E-4</v>
      </c>
      <c r="E2180" s="7">
        <v>9.8383696416022397E-3</v>
      </c>
    </row>
    <row r="2181" spans="1:5" x14ac:dyDescent="0.3">
      <c r="A2181" t="str">
        <f>HYPERLINK("https://anilist.co/staff/106184","Staff: Nao Touyama (Theme Song Performance (ED))")</f>
        <v>Staff: Nao Touyama (Theme Song Performance (ED))</v>
      </c>
      <c r="B2181" s="5">
        <v>70</v>
      </c>
      <c r="C2181" s="9">
        <v>1</v>
      </c>
      <c r="D2181" s="6">
        <v>1.4054813773717499E-4</v>
      </c>
      <c r="E2181" s="7">
        <v>9.8383696416022397E-3</v>
      </c>
    </row>
    <row r="2182" spans="1:5" x14ac:dyDescent="0.3">
      <c r="A2182" t="str">
        <f>HYPERLINK("https://anilist.co/staff/130465","Staff: Hisashi Akimoto (CG Director)")</f>
        <v>Staff: Hisashi Akimoto (CG Director)</v>
      </c>
      <c r="B2182" s="5">
        <v>70</v>
      </c>
      <c r="C2182" s="9">
        <v>1</v>
      </c>
      <c r="D2182" s="6">
        <v>1.4054813773717499E-4</v>
      </c>
      <c r="E2182" s="7">
        <v>9.8383696416022397E-3</v>
      </c>
    </row>
    <row r="2183" spans="1:5" x14ac:dyDescent="0.3">
      <c r="A2183" t="str">
        <f>HYPERLINK("https://anilist.co/staff/119937","Staff: Miyuki Abe (Color Design)")</f>
        <v>Staff: Miyuki Abe (Color Design)</v>
      </c>
      <c r="B2183" s="5">
        <v>70</v>
      </c>
      <c r="C2183" s="9">
        <v>1</v>
      </c>
      <c r="D2183" s="6">
        <v>1.4054813773717499E-4</v>
      </c>
      <c r="E2183" s="7">
        <v>9.8383696416022397E-3</v>
      </c>
    </row>
    <row r="2184" spans="1:5" x14ac:dyDescent="0.3">
      <c r="A2184" t="str">
        <f>HYPERLINK("https://anilist.co/staff/148360","Staff: Takeo Gotou (Director of Photography)")</f>
        <v>Staff: Takeo Gotou (Director of Photography)</v>
      </c>
      <c r="B2184" s="5">
        <v>70</v>
      </c>
      <c r="C2184" s="9">
        <v>1</v>
      </c>
      <c r="D2184" s="6">
        <v>1.4054813773717499E-4</v>
      </c>
      <c r="E2184" s="7">
        <v>9.8383696416022397E-3</v>
      </c>
    </row>
    <row r="2185" spans="1:5" x14ac:dyDescent="0.3">
      <c r="A2185" t="str">
        <f>HYPERLINK("https://anilist.co/staff/185392","Staff: Shuuichi Fujieda (Producer)")</f>
        <v>Staff: Shuuichi Fujieda (Producer)</v>
      </c>
      <c r="B2185" s="5">
        <v>70</v>
      </c>
      <c r="C2185" s="9">
        <v>1</v>
      </c>
      <c r="D2185" s="6">
        <v>1.4054813773717499E-4</v>
      </c>
      <c r="E2185" s="7">
        <v>9.8383696416022397E-3</v>
      </c>
    </row>
    <row r="2186" spans="1:5" x14ac:dyDescent="0.3">
      <c r="A2186" t="str">
        <f>HYPERLINK("https://anilist.co/staff/240660","Staff: Hiroki Kitayoshi (Producer)")</f>
        <v>Staff: Hiroki Kitayoshi (Producer)</v>
      </c>
      <c r="B2186" s="5">
        <v>70</v>
      </c>
      <c r="C2186" s="9">
        <v>1</v>
      </c>
      <c r="D2186" s="6">
        <v>1.4054813773717499E-4</v>
      </c>
      <c r="E2186" s="7">
        <v>9.8383696416022397E-3</v>
      </c>
    </row>
    <row r="2187" spans="1:5" x14ac:dyDescent="0.3">
      <c r="A2187" t="str">
        <f>HYPERLINK("https://anilist.co/staff/148244","Staff: Youhei Kisara (Producer)")</f>
        <v>Staff: Youhei Kisara (Producer)</v>
      </c>
      <c r="B2187" s="5">
        <v>70</v>
      </c>
      <c r="C2187" s="9">
        <v>1</v>
      </c>
      <c r="D2187" s="6">
        <v>1.4054813773717499E-4</v>
      </c>
      <c r="E2187" s="7">
        <v>9.8383696416022397E-3</v>
      </c>
    </row>
    <row r="2188" spans="1:5" x14ac:dyDescent="0.3">
      <c r="A2188" t="str">
        <f>HYPERLINK("https://anilist.co/staff/148358","Staff: Atsushi Aitani (Producer)")</f>
        <v>Staff: Atsushi Aitani (Producer)</v>
      </c>
      <c r="B2188" s="5">
        <v>70</v>
      </c>
      <c r="C2188" s="9">
        <v>1</v>
      </c>
      <c r="D2188" s="6">
        <v>1.4054813773717499E-4</v>
      </c>
      <c r="E2188" s="7">
        <v>9.8383696416022397E-3</v>
      </c>
    </row>
    <row r="2189" spans="1:5" x14ac:dyDescent="0.3">
      <c r="A2189" t="str">
        <f>HYPERLINK("https://anilist.co/staff/106016","Staff: Hidekichi Matsumoto (Original Creator)")</f>
        <v>Staff: Hidekichi Matsumoto (Original Creator)</v>
      </c>
      <c r="B2189" s="5">
        <v>70</v>
      </c>
      <c r="C2189" s="9">
        <v>1</v>
      </c>
      <c r="D2189" s="6">
        <v>1.4054813773717499E-4</v>
      </c>
      <c r="E2189" s="7">
        <v>9.8383696416022397E-3</v>
      </c>
    </row>
    <row r="2190" spans="1:5" x14ac:dyDescent="0.3">
      <c r="A2190" t="str">
        <f>HYPERLINK("https://anilist.co/staff/146272","Staff: Yasutoshi Kawai (Art Director)")</f>
        <v>Staff: Yasutoshi Kawai (Art Director)</v>
      </c>
      <c r="B2190" s="5">
        <v>70</v>
      </c>
      <c r="C2190" s="9">
        <v>1</v>
      </c>
      <c r="D2190" s="6">
        <v>1.4054813773717499E-4</v>
      </c>
      <c r="E2190" s="7">
        <v>9.8383696416022397E-3</v>
      </c>
    </row>
    <row r="2191" spans="1:5" x14ac:dyDescent="0.3">
      <c r="A2191" t="str">
        <f>HYPERLINK("https://anilist.co/staff/128911","Staff: Yoshimi Kawakami (Color Design)")</f>
        <v>Staff: Yoshimi Kawakami (Color Design)</v>
      </c>
      <c r="B2191" s="5">
        <v>70</v>
      </c>
      <c r="C2191" s="9">
        <v>1</v>
      </c>
      <c r="D2191" s="6">
        <v>1.4054813773717499E-4</v>
      </c>
      <c r="E2191" s="7">
        <v>9.8383696416022397E-3</v>
      </c>
    </row>
    <row r="2192" spans="1:5" x14ac:dyDescent="0.3">
      <c r="A2192" t="str">
        <f>HYPERLINK("https://anilist.co/staff/105885","Staff: Yoshiyuki Itou (Music Producer)")</f>
        <v>Staff: Yoshiyuki Itou (Music Producer)</v>
      </c>
      <c r="B2192" s="5">
        <v>70</v>
      </c>
      <c r="C2192" s="9">
        <v>1</v>
      </c>
      <c r="D2192" s="6">
        <v>1.4054813773717499E-4</v>
      </c>
      <c r="E2192" s="7">
        <v>9.8383696416022397E-3</v>
      </c>
    </row>
    <row r="2193" spans="1:5" x14ac:dyDescent="0.3">
      <c r="A2193" t="str">
        <f>HYPERLINK("https://anilist.co/staff/101891","Staff: Masashi Kudou (Character Design)")</f>
        <v>Staff: Masashi Kudou (Character Design)</v>
      </c>
      <c r="B2193" s="5">
        <v>70</v>
      </c>
      <c r="C2193" s="9">
        <v>1</v>
      </c>
      <c r="D2193" s="6">
        <v>1.4054813773717499E-4</v>
      </c>
      <c r="E2193" s="7">
        <v>9.8383696416022397E-3</v>
      </c>
    </row>
    <row r="2194" spans="1:5" x14ac:dyDescent="0.3">
      <c r="A2194" t="str">
        <f>HYPERLINK("https://anilist.co/staff/148362","Staff: Yuuko Katou (Producer)")</f>
        <v>Staff: Yuuko Katou (Producer)</v>
      </c>
      <c r="B2194" s="5">
        <v>70</v>
      </c>
      <c r="C2194" s="9">
        <v>1</v>
      </c>
      <c r="D2194" s="6">
        <v>1.4054813773717499E-4</v>
      </c>
      <c r="E2194" s="7">
        <v>9.8383696416022397E-3</v>
      </c>
    </row>
    <row r="2195" spans="1:5" x14ac:dyDescent="0.3">
      <c r="A2195" t="str">
        <f>HYPERLINK("https://anilist.co/staff/148359","Staff: Takayuki Tahata (Producer)")</f>
        <v>Staff: Takayuki Tahata (Producer)</v>
      </c>
      <c r="B2195" s="5">
        <v>70</v>
      </c>
      <c r="C2195" s="9">
        <v>1</v>
      </c>
      <c r="D2195" s="6">
        <v>1.4054813773717499E-4</v>
      </c>
      <c r="E2195" s="7">
        <v>9.8383696416022397E-3</v>
      </c>
    </row>
    <row r="2196" spans="1:5" x14ac:dyDescent="0.3">
      <c r="A2196" t="str">
        <f>HYPERLINK("https://anilist.co/staff/106606","Staff: Takamitsu Kouno (Script (eps 7, 10, 11))")</f>
        <v>Staff: Takamitsu Kouno (Script (eps 7, 10, 11))</v>
      </c>
      <c r="B2196" s="5">
        <v>70</v>
      </c>
      <c r="C2196" s="9">
        <v>1</v>
      </c>
      <c r="D2196" s="6">
        <v>1.4054813773717499E-4</v>
      </c>
      <c r="E2196" s="7">
        <v>9.8383696416022397E-3</v>
      </c>
    </row>
    <row r="2197" spans="1:5" x14ac:dyDescent="0.3">
      <c r="A2197" t="str">
        <f>HYPERLINK("https://anilist.co/staff/103838","Staff: Masahiko Oota (Storyboard (eps 1, 4, 9, 10, 12))")</f>
        <v>Staff: Masahiko Oota (Storyboard (eps 1, 4, 9, 10, 12))</v>
      </c>
      <c r="B2197" s="5">
        <v>70</v>
      </c>
      <c r="C2197" s="9">
        <v>1</v>
      </c>
      <c r="D2197" s="6">
        <v>1.4054813773717499E-4</v>
      </c>
      <c r="E2197" s="7">
        <v>9.8383696416022397E-3</v>
      </c>
    </row>
    <row r="2198" spans="1:5" x14ac:dyDescent="0.3">
      <c r="A2198" t="str">
        <f>HYPERLINK("https://anilist.co/staff/148361","Staff: Masato Takami (Producer)")</f>
        <v>Staff: Masato Takami (Producer)</v>
      </c>
      <c r="B2198" s="5">
        <v>70</v>
      </c>
      <c r="C2198" s="9">
        <v>1</v>
      </c>
      <c r="D2198" s="6">
        <v>1.4054813773717499E-4</v>
      </c>
      <c r="E2198" s="7">
        <v>9.8383696416022397E-3</v>
      </c>
    </row>
    <row r="2199" spans="1:5" x14ac:dyDescent="0.3">
      <c r="A2199" t="str">
        <f>HYPERLINK("https://anilist.co/staff/99039","Staff: Hikaru Nakamura (Original Creator)")</f>
        <v>Staff: Hikaru Nakamura (Original Creator)</v>
      </c>
      <c r="B2199" s="5">
        <v>70</v>
      </c>
      <c r="C2199" s="9">
        <v>1</v>
      </c>
      <c r="D2199" s="6">
        <v>1.4054813773717499E-4</v>
      </c>
      <c r="E2199" s="7">
        <v>9.8383696416022397E-3</v>
      </c>
    </row>
    <row r="2200" spans="1:5" x14ac:dyDescent="0.3">
      <c r="A2200" t="str">
        <f>HYPERLINK("https://anilist.co/staff/103130","Staff: Noriko Takao (Director)")</f>
        <v>Staff: Noriko Takao (Director)</v>
      </c>
      <c r="B2200" s="5">
        <v>70</v>
      </c>
      <c r="C2200" s="9">
        <v>1</v>
      </c>
      <c r="D2200" s="6">
        <v>1.4054813773717499E-4</v>
      </c>
      <c r="E2200" s="7">
        <v>9.8383696416022397E-3</v>
      </c>
    </row>
    <row r="2201" spans="1:5" x14ac:dyDescent="0.3">
      <c r="A2201" t="str">
        <f>HYPERLINK("https://anilist.co/staff/108679","Staff: Keiichi Suzuki (Music)")</f>
        <v>Staff: Keiichi Suzuki (Music)</v>
      </c>
      <c r="B2201" s="5">
        <v>70</v>
      </c>
      <c r="C2201" s="9">
        <v>1</v>
      </c>
      <c r="D2201" s="6">
        <v>1.4054813773717499E-4</v>
      </c>
      <c r="E2201" s="7">
        <v>9.8383696416022397E-3</v>
      </c>
    </row>
    <row r="2202" spans="1:5" x14ac:dyDescent="0.3">
      <c r="A2202" t="str">
        <f>HYPERLINK("https://anilist.co/staff/115206","Staff: Gen Hoshino (Theme Song Performance)")</f>
        <v>Staff: Gen Hoshino (Theme Song Performance)</v>
      </c>
      <c r="B2202" s="5">
        <v>70</v>
      </c>
      <c r="C2202" s="9">
        <v>1</v>
      </c>
      <c r="D2202" s="6">
        <v>1.4054813773717499E-4</v>
      </c>
      <c r="E2202" s="7">
        <v>9.8383696416022397E-3</v>
      </c>
    </row>
    <row r="2203" spans="1:5" x14ac:dyDescent="0.3">
      <c r="A2203" t="str">
        <f>HYPERLINK("https://anilist.co/staff/120602","Staff: Megumi Kouno (2nd Key Animation)")</f>
        <v>Staff: Megumi Kouno (2nd Key Animation)</v>
      </c>
      <c r="B2203" s="5">
        <v>70</v>
      </c>
      <c r="C2203" s="9">
        <v>1</v>
      </c>
      <c r="D2203" s="6">
        <v>1.4054813773717499E-4</v>
      </c>
      <c r="E2203" s="7">
        <v>9.8383696416022397E-3</v>
      </c>
    </row>
    <row r="2204" spans="1:5" x14ac:dyDescent="0.3">
      <c r="A2204" t="str">
        <f>HYPERLINK("https://anilist.co/staff/136582","Staff: Jun Uemura (Art Design)")</f>
        <v>Staff: Jun Uemura (Art Design)</v>
      </c>
      <c r="B2204" s="5">
        <v>70</v>
      </c>
      <c r="C2204" s="9">
        <v>1</v>
      </c>
      <c r="D2204" s="6">
        <v>1.4054813773717499E-4</v>
      </c>
      <c r="E2204" s="7">
        <v>9.8383696416022397E-3</v>
      </c>
    </row>
    <row r="2205" spans="1:5" x14ac:dyDescent="0.3">
      <c r="A2205" t="str">
        <f>HYPERLINK("https://anilist.co/staff/136205","Staff: Yuuya Sakuma  (Director of Photography)")</f>
        <v>Staff: Yuuya Sakuma  (Director of Photography)</v>
      </c>
      <c r="B2205" s="5">
        <v>70</v>
      </c>
      <c r="C2205" s="9">
        <v>1</v>
      </c>
      <c r="D2205" s="6">
        <v>1.4054813773717499E-4</v>
      </c>
      <c r="E2205" s="7">
        <v>9.8383696416022397E-3</v>
      </c>
    </row>
    <row r="2206" spans="1:5" x14ac:dyDescent="0.3">
      <c r="A2206" t="str">
        <f>HYPERLINK("https://anilist.co/staff/136582","Staff: Jun Uemura (Layout Supervisor)")</f>
        <v>Staff: Jun Uemura (Layout Supervisor)</v>
      </c>
      <c r="B2206" s="5">
        <v>70</v>
      </c>
      <c r="C2206" s="9">
        <v>1</v>
      </c>
      <c r="D2206" s="6">
        <v>1.4054813773717499E-4</v>
      </c>
      <c r="E2206" s="7">
        <v>9.8383696416022397E-3</v>
      </c>
    </row>
    <row r="2207" spans="1:5" x14ac:dyDescent="0.3">
      <c r="A2207" t="str">
        <f>HYPERLINK("https://anilist.co/staff/142580","Staff: Akinori  Mishima (Editing)")</f>
        <v>Staff: Akinori  Mishima (Editing)</v>
      </c>
      <c r="B2207" s="5">
        <v>70</v>
      </c>
      <c r="C2207" s="9">
        <v>1</v>
      </c>
      <c r="D2207" s="6">
        <v>1.4054813773717499E-4</v>
      </c>
      <c r="E2207" s="7">
        <v>9.8383696416022397E-3</v>
      </c>
    </row>
    <row r="2208" spans="1:5" x14ac:dyDescent="0.3">
      <c r="A2208" t="str">
        <f>HYPERLINK("https://anilist.co/staff/131615","Staff: Genki Kawamura (Producer)")</f>
        <v>Staff: Genki Kawamura (Producer)</v>
      </c>
      <c r="B2208" s="5">
        <v>70</v>
      </c>
      <c r="C2208" s="9">
        <v>1</v>
      </c>
      <c r="D2208" s="6">
        <v>1.4054813773717499E-4</v>
      </c>
      <c r="E2208" s="7">
        <v>9.8383696416022397E-3</v>
      </c>
    </row>
    <row r="2209" spans="1:5" x14ac:dyDescent="0.3">
      <c r="A2209" t="str">
        <f>HYPERLINK("https://anilist.co/staff/142908","Staff: Fusako Nakao (Color Design)")</f>
        <v>Staff: Fusako Nakao (Color Design)</v>
      </c>
      <c r="B2209" s="5">
        <v>70</v>
      </c>
      <c r="C2209" s="9">
        <v>1</v>
      </c>
      <c r="D2209" s="6">
        <v>1.4054813773717499E-4</v>
      </c>
      <c r="E2209" s="7">
        <v>9.8383696416022397E-3</v>
      </c>
    </row>
    <row r="2210" spans="1:5" x14ac:dyDescent="0.3">
      <c r="A2210" t="str">
        <f>HYPERLINK("https://anilist.co/staff/194485","Staff: Kayo Oobou (Key Animation)")</f>
        <v>Staff: Kayo Oobou (Key Animation)</v>
      </c>
      <c r="B2210" s="5">
        <v>70</v>
      </c>
      <c r="C2210" s="9">
        <v>1</v>
      </c>
      <c r="D2210" s="6">
        <v>1.4054813773717499E-4</v>
      </c>
      <c r="E2210" s="7">
        <v>9.8383696416022397E-3</v>
      </c>
    </row>
    <row r="2211" spans="1:5" x14ac:dyDescent="0.3">
      <c r="A2211" t="str">
        <f>HYPERLINK("https://anilist.co/staff/207554","Staff: Rika Nedzu (Script)")</f>
        <v>Staff: Rika Nedzu (Script)</v>
      </c>
      <c r="B2211" s="5">
        <v>70</v>
      </c>
      <c r="C2211" s="9">
        <v>1</v>
      </c>
      <c r="D2211" s="6">
        <v>1.4054813773717499E-4</v>
      </c>
      <c r="E2211" s="7">
        <v>9.8383696416022397E-3</v>
      </c>
    </row>
    <row r="2212" spans="1:5" x14ac:dyDescent="0.3">
      <c r="A2212" t="str">
        <f>HYPERLINK("https://anilist.co/staff/196904","Staff: Junichi Niizaka (Planning)")</f>
        <v>Staff: Junichi Niizaka (Planning)</v>
      </c>
      <c r="B2212" s="5">
        <v>70</v>
      </c>
      <c r="C2212" s="9">
        <v>1</v>
      </c>
      <c r="D2212" s="6">
        <v>1.4054813773717499E-4</v>
      </c>
      <c r="E2212" s="7">
        <v>9.8383696416022397E-3</v>
      </c>
    </row>
    <row r="2213" spans="1:5" x14ac:dyDescent="0.3">
      <c r="A2213" t="str">
        <f>HYPERLINK("https://anilist.co/staff/101759","Staff: Mamoru Kanbe (Chief Unit Director)")</f>
        <v>Staff: Mamoru Kanbe (Chief Unit Director)</v>
      </c>
      <c r="B2213" s="5">
        <v>70</v>
      </c>
      <c r="C2213" s="9">
        <v>1</v>
      </c>
      <c r="D2213" s="6">
        <v>1.4054813773717499E-4</v>
      </c>
      <c r="E2213" s="7">
        <v>9.8383696416022397E-3</v>
      </c>
    </row>
    <row r="2214" spans="1:5" x14ac:dyDescent="0.3">
      <c r="A2214" t="str">
        <f>HYPERLINK("https://anilist.co/staff/148840","Staff: Masuo Ueda (Planning)")</f>
        <v>Staff: Masuo Ueda (Planning)</v>
      </c>
      <c r="B2214" s="5">
        <v>70</v>
      </c>
      <c r="C2214" s="9">
        <v>1</v>
      </c>
      <c r="D2214" s="6">
        <v>1.4054813773717499E-4</v>
      </c>
      <c r="E2214" s="7">
        <v>9.8383696416022397E-3</v>
      </c>
    </row>
    <row r="2215" spans="1:5" x14ac:dyDescent="0.3">
      <c r="A2215" t="str">
        <f>HYPERLINK("https://anilist.co/staff/132196","Staff: Masahiro Emoto (Animation Director)")</f>
        <v>Staff: Masahiro Emoto (Animation Director)</v>
      </c>
      <c r="B2215" s="5">
        <v>70</v>
      </c>
      <c r="C2215" s="9">
        <v>1</v>
      </c>
      <c r="D2215" s="6">
        <v>1.4054813773717499E-4</v>
      </c>
      <c r="E2215" s="7">
        <v>9.8383696416022397E-3</v>
      </c>
    </row>
    <row r="2216" spans="1:5" x14ac:dyDescent="0.3">
      <c r="A2216" t="str">
        <f>HYPERLINK("https://anilist.co/staff/119480","Staff: Naoyuki Asano (Character Design)")</f>
        <v>Staff: Naoyuki Asano (Character Design)</v>
      </c>
      <c r="B2216" s="5">
        <v>70</v>
      </c>
      <c r="C2216" s="9">
        <v>1</v>
      </c>
      <c r="D2216" s="6">
        <v>1.4054813773717499E-4</v>
      </c>
      <c r="E2216" s="7">
        <v>9.8383696416022397E-3</v>
      </c>
    </row>
    <row r="2217" spans="1:5" x14ac:dyDescent="0.3">
      <c r="A2217" t="str">
        <f>HYPERLINK("https://anilist.co/staff/103130","Staff: Noriko Takao (Storyboard)")</f>
        <v>Staff: Noriko Takao (Storyboard)</v>
      </c>
      <c r="B2217" s="5">
        <v>70</v>
      </c>
      <c r="C2217" s="9">
        <v>1</v>
      </c>
      <c r="D2217" s="6">
        <v>1.4054813773717499E-4</v>
      </c>
      <c r="E2217" s="7">
        <v>9.8383696416022397E-3</v>
      </c>
    </row>
    <row r="2218" spans="1:5" x14ac:dyDescent="0.3">
      <c r="A2218" t="str">
        <f>HYPERLINK("https://anilist.co/staff/124718","Staff: Yoshiko Okuda (Animation Director)")</f>
        <v>Staff: Yoshiko Okuda (Animation Director)</v>
      </c>
      <c r="B2218" s="5">
        <v>70</v>
      </c>
      <c r="C2218" s="9">
        <v>1</v>
      </c>
      <c r="D2218" s="6">
        <v>1.4054813773717499E-4</v>
      </c>
      <c r="E2218" s="7">
        <v>9.8383696416022397E-3</v>
      </c>
    </row>
    <row r="2219" spans="1:5" x14ac:dyDescent="0.3">
      <c r="A2219" t="str">
        <f>HYPERLINK("https://anilist.co/staff/148020","Staff: Shizuka Kurosaki (Associate Producer)")</f>
        <v>Staff: Shizuka Kurosaki (Associate Producer)</v>
      </c>
      <c r="B2219" s="5">
        <v>70</v>
      </c>
      <c r="C2219" s="9">
        <v>1</v>
      </c>
      <c r="D2219" s="6">
        <v>1.4054813773717499E-4</v>
      </c>
      <c r="E2219" s="7">
        <v>9.8383696416022397E-3</v>
      </c>
    </row>
    <row r="2220" spans="1:5" x14ac:dyDescent="0.3">
      <c r="A2220" t="str">
        <f>HYPERLINK("https://anilist.co/staff/151574","Staff: Takuya Kawai (Animation Director)")</f>
        <v>Staff: Takuya Kawai (Animation Director)</v>
      </c>
      <c r="B2220" s="5">
        <v>70</v>
      </c>
      <c r="C2220" s="9">
        <v>1</v>
      </c>
      <c r="D2220" s="6">
        <v>1.4054813773717499E-4</v>
      </c>
      <c r="E2220" s="7">
        <v>9.8383696416022397E-3</v>
      </c>
    </row>
    <row r="2221" spans="1:5" x14ac:dyDescent="0.3">
      <c r="A2221" t="str">
        <f>HYPERLINK("https://anilist.co/staff/149511","Staff: Nobuiku Suzuki (Planning)")</f>
        <v>Staff: Nobuiku Suzuki (Planning)</v>
      </c>
      <c r="B2221" s="5">
        <v>70</v>
      </c>
      <c r="C2221" s="9">
        <v>1</v>
      </c>
      <c r="D2221" s="6">
        <v>1.4054813773717499E-4</v>
      </c>
      <c r="E2221" s="7">
        <v>9.8383696416022397E-3</v>
      </c>
    </row>
    <row r="2222" spans="1:5" x14ac:dyDescent="0.3">
      <c r="A2222" t="str">
        <f>HYPERLINK("https://anilist.co/staff/109013","Staff: Hajime Kamoshida (Original Story)")</f>
        <v>Staff: Hajime Kamoshida (Original Story)</v>
      </c>
      <c r="B2222" s="5">
        <v>70</v>
      </c>
      <c r="C2222" s="9">
        <v>1</v>
      </c>
      <c r="D2222" s="6">
        <v>1.4054813773717499E-4</v>
      </c>
      <c r="E2222" s="7">
        <v>9.8383696416022397E-3</v>
      </c>
    </row>
    <row r="2223" spans="1:5" x14ac:dyDescent="0.3">
      <c r="A2223" t="str">
        <f>HYPERLINK("https://anilist.co/staff/114950","Staff: Keiji Mizoguchi (Original Character Design)")</f>
        <v>Staff: Keiji Mizoguchi (Original Character Design)</v>
      </c>
      <c r="B2223" s="5">
        <v>70</v>
      </c>
      <c r="C2223" s="9">
        <v>1</v>
      </c>
      <c r="D2223" s="6">
        <v>1.4054813773717499E-4</v>
      </c>
      <c r="E2223" s="7">
        <v>9.8383696416022397E-3</v>
      </c>
    </row>
    <row r="2224" spans="1:5" x14ac:dyDescent="0.3">
      <c r="A2224" t="str">
        <f>HYPERLINK("https://anilist.co/staff/101389","Staff: Souichi Masui (Director)")</f>
        <v>Staff: Souichi Masui (Director)</v>
      </c>
      <c r="B2224" s="5">
        <v>70</v>
      </c>
      <c r="C2224" s="9">
        <v>1</v>
      </c>
      <c r="D2224" s="6">
        <v>1.4054813773717499E-4</v>
      </c>
      <c r="E2224" s="7">
        <v>9.8383696416022397E-3</v>
      </c>
    </row>
    <row r="2225" spans="1:5" x14ac:dyDescent="0.3">
      <c r="A2225" t="str">
        <f>HYPERLINK("https://anilist.co/staff/132642","Staff: the peggies (Theme Song Performance (OP))")</f>
        <v>Staff: the peggies (Theme Song Performance (OP))</v>
      </c>
      <c r="B2225" s="5">
        <v>70</v>
      </c>
      <c r="C2225" s="9">
        <v>1</v>
      </c>
      <c r="D2225" s="6">
        <v>1.4054813773717499E-4</v>
      </c>
      <c r="E2225" s="7">
        <v>9.8383696416022397E-3</v>
      </c>
    </row>
    <row r="2226" spans="1:5" x14ac:dyDescent="0.3">
      <c r="A2226" t="str">
        <f>HYPERLINK("https://anilist.co/staff/124288","Staff: Hidetoshi Takahashi (Episode Director (ep 13))")</f>
        <v>Staff: Hidetoshi Takahashi (Episode Director (ep 13))</v>
      </c>
      <c r="B2226" s="5">
        <v>70</v>
      </c>
      <c r="C2226" s="9">
        <v>1</v>
      </c>
      <c r="D2226" s="6">
        <v>1.4054813773717499E-4</v>
      </c>
      <c r="E2226" s="7">
        <v>9.8383696416022397E-3</v>
      </c>
    </row>
    <row r="2227" spans="1:5" x14ac:dyDescent="0.3">
      <c r="A2227" t="str">
        <f>HYPERLINK("https://anilist.co/staff/120094","Staff: Yoshikazu Miyao (Storyboard (ep 9))")</f>
        <v>Staff: Yoshikazu Miyao (Storyboard (ep 9))</v>
      </c>
      <c r="B2227" s="5">
        <v>70</v>
      </c>
      <c r="C2227" s="9">
        <v>1</v>
      </c>
      <c r="D2227" s="6">
        <v>1.4054813773717499E-4</v>
      </c>
      <c r="E2227" s="7">
        <v>9.8383696416022397E-3</v>
      </c>
    </row>
    <row r="2228" spans="1:5" x14ac:dyDescent="0.3">
      <c r="A2228" t="str">
        <f>HYPERLINK("https://anilist.co/staff/122492","Staff: Kazuya Iwata (Storyboard (ED1-5, eps 6, 12))")</f>
        <v>Staff: Kazuya Iwata (Storyboard (ED1-5, eps 6, 12))</v>
      </c>
      <c r="B2228" s="5">
        <v>70</v>
      </c>
      <c r="C2228" s="9">
        <v>1</v>
      </c>
      <c r="D2228" s="6">
        <v>1.4054813773717499E-4</v>
      </c>
      <c r="E2228" s="7">
        <v>9.8383696416022397E-3</v>
      </c>
    </row>
    <row r="2229" spans="1:5" x14ac:dyDescent="0.3">
      <c r="A2229" t="str">
        <f>HYPERLINK("https://anilist.co/staff/114175","Staff: Masahiro Yokotani (Script (eps 1-13))")</f>
        <v>Staff: Masahiro Yokotani (Script (eps 1-13))</v>
      </c>
      <c r="B2229" s="5">
        <v>70</v>
      </c>
      <c r="C2229" s="9">
        <v>1</v>
      </c>
      <c r="D2229" s="6">
        <v>1.4054813773717499E-4</v>
      </c>
      <c r="E2229" s="7">
        <v>9.8383696416022397E-3</v>
      </c>
    </row>
    <row r="2230" spans="1:5" x14ac:dyDescent="0.3">
      <c r="A2230" t="str">
        <f>HYPERLINK("https://anilist.co/staff/122492","Staff: Kazuya Iwata (Episode Director (OP, ED1-5, eps 1, 6, 12))")</f>
        <v>Staff: Kazuya Iwata (Episode Director (OP, ED1-5, eps 1, 6, 12))</v>
      </c>
      <c r="B2230" s="5">
        <v>70</v>
      </c>
      <c r="C2230" s="9">
        <v>1</v>
      </c>
      <c r="D2230" s="6">
        <v>1.4054813773717499E-4</v>
      </c>
      <c r="E2230" s="7">
        <v>9.8383696416022397E-3</v>
      </c>
    </row>
    <row r="2231" spans="1:5" x14ac:dyDescent="0.3">
      <c r="A2231" t="str">
        <f>HYPERLINK("https://anilist.co/staff/101389","Staff: Souichi Masui (Storyboard (OP, eps 1, 3, 13))")</f>
        <v>Staff: Souichi Masui (Storyboard (OP, eps 1, 3, 13))</v>
      </c>
      <c r="B2231" s="5">
        <v>70</v>
      </c>
      <c r="C2231" s="9">
        <v>1</v>
      </c>
      <c r="D2231" s="6">
        <v>1.4054813773717499E-4</v>
      </c>
      <c r="E2231" s="7">
        <v>9.8383696416022397E-3</v>
      </c>
    </row>
    <row r="2232" spans="1:5" x14ac:dyDescent="0.3">
      <c r="A2232" t="str">
        <f>HYPERLINK("https://anilist.co/staff/120116","Staff: Kazushi Fujii (Art Design)")</f>
        <v>Staff: Kazushi Fujii (Art Design)</v>
      </c>
      <c r="B2232" s="5">
        <v>70</v>
      </c>
      <c r="C2232" s="9">
        <v>1</v>
      </c>
      <c r="D2232" s="6">
        <v>1.4054813773717499E-4</v>
      </c>
      <c r="E2232" s="7">
        <v>9.8383696416022397E-3</v>
      </c>
    </row>
    <row r="2233" spans="1:5" x14ac:dyDescent="0.3">
      <c r="A2233" t="str">
        <f>HYPERLINK("https://anilist.co/staff/106184","Staff: Nao Touyama (Theme Song Performance (ED eps 1, 4, 5, 13))")</f>
        <v>Staff: Nao Touyama (Theme Song Performance (ED eps 1, 4, 5, 13))</v>
      </c>
      <c r="B2233" s="5">
        <v>70</v>
      </c>
      <c r="C2233" s="9">
        <v>1</v>
      </c>
      <c r="D2233" s="6">
        <v>1.4054813773717499E-4</v>
      </c>
      <c r="E2233" s="7">
        <v>9.8383696416022397E-3</v>
      </c>
    </row>
    <row r="2234" spans="1:5" x14ac:dyDescent="0.3">
      <c r="A2234" t="str">
        <f>HYPERLINK("https://anilist.co/staff/108639","Staff: Maaya Uchida (Theme Song Performance (ED eps 1, 9, 10, 13))")</f>
        <v>Staff: Maaya Uchida (Theme Song Performance (ED eps 1, 9, 10, 13))</v>
      </c>
      <c r="B2234" s="5">
        <v>70</v>
      </c>
      <c r="C2234" s="9">
        <v>1</v>
      </c>
      <c r="D2234" s="6">
        <v>1.4054813773717499E-4</v>
      </c>
      <c r="E2234" s="7">
        <v>9.8383696416022397E-3</v>
      </c>
    </row>
    <row r="2235" spans="1:5" x14ac:dyDescent="0.3">
      <c r="A2235" t="str">
        <f>HYPERLINK("https://anilist.co/staff/116517","Staff: Sora Amamiya (Insert Song Performance (ep 10))")</f>
        <v>Staff: Sora Amamiya (Insert Song Performance (ep 10))</v>
      </c>
      <c r="B2235" s="5">
        <v>70</v>
      </c>
      <c r="C2235" s="9">
        <v>1</v>
      </c>
      <c r="D2235" s="6">
        <v>1.4054813773717499E-4</v>
      </c>
      <c r="E2235" s="7">
        <v>9.8383696416022397E-3</v>
      </c>
    </row>
    <row r="2236" spans="1:5" x14ac:dyDescent="0.3">
      <c r="A2236" t="str">
        <f>HYPERLINK("https://anilist.co/staff/114976","Staff: Yukihiro Shibutani (Art Director)")</f>
        <v>Staff: Yukihiro Shibutani (Art Director)</v>
      </c>
      <c r="B2236" s="5">
        <v>70</v>
      </c>
      <c r="C2236" s="9">
        <v>1</v>
      </c>
      <c r="D2236" s="6">
        <v>1.4054813773717499E-4</v>
      </c>
      <c r="E2236" s="7">
        <v>9.8383696416022397E-3</v>
      </c>
    </row>
    <row r="2237" spans="1:5" x14ac:dyDescent="0.3">
      <c r="A2237" t="str">
        <f>HYPERLINK("https://anilist.co/staff/101885","Staff: Akira Takada (Chief Animation Director (eps 2, 4, 6, 8, 10))")</f>
        <v>Staff: Akira Takada (Chief Animation Director (eps 2, 4, 6, 8, 10))</v>
      </c>
      <c r="B2237" s="5">
        <v>70</v>
      </c>
      <c r="C2237" s="9">
        <v>1</v>
      </c>
      <c r="D2237" s="6">
        <v>1.4054813773717499E-4</v>
      </c>
      <c r="E2237" s="7">
        <v>9.8383696416022397E-3</v>
      </c>
    </row>
    <row r="2238" spans="1:5" x14ac:dyDescent="0.3">
      <c r="A2238" t="str">
        <f>HYPERLINK("https://anilist.co/staff/106297","Staff: Inori Minase (Theme Song Performance (ED eps 1, 13))")</f>
        <v>Staff: Inori Minase (Theme Song Performance (ED eps 1, 13))</v>
      </c>
      <c r="B2238" s="5">
        <v>70</v>
      </c>
      <c r="C2238" s="9">
        <v>1</v>
      </c>
      <c r="D2238" s="6">
        <v>1.4054813773717499E-4</v>
      </c>
      <c r="E2238" s="7">
        <v>9.8383696416022397E-3</v>
      </c>
    </row>
    <row r="2239" spans="1:5" x14ac:dyDescent="0.3">
      <c r="A2239" t="str">
        <f>HYPERLINK("https://anilist.co/staff/112209","Staff: Yurika Kubo (Theme Song Performance (ED eps 1, 11-13))")</f>
        <v>Staff: Yurika Kubo (Theme Song Performance (ED eps 1, 11-13))</v>
      </c>
      <c r="B2239" s="5">
        <v>70</v>
      </c>
      <c r="C2239" s="9">
        <v>1</v>
      </c>
      <c r="D2239" s="6">
        <v>1.4054813773717499E-4</v>
      </c>
      <c r="E2239" s="7">
        <v>9.8383696416022397E-3</v>
      </c>
    </row>
    <row r="2240" spans="1:5" x14ac:dyDescent="0.3">
      <c r="A2240" t="str">
        <f>HYPERLINK("https://anilist.co/staff/106787","Staff: Asami Seto (Theme Song Performance (ED eps 1-3, 13))")</f>
        <v>Staff: Asami Seto (Theme Song Performance (ED eps 1-3, 13))</v>
      </c>
      <c r="B2240" s="5">
        <v>70</v>
      </c>
      <c r="C2240" s="9">
        <v>1</v>
      </c>
      <c r="D2240" s="6">
        <v>1.4054813773717499E-4</v>
      </c>
      <c r="E2240" s="7">
        <v>9.8383696416022397E-3</v>
      </c>
    </row>
    <row r="2241" spans="1:5" x14ac:dyDescent="0.3">
      <c r="A2241" t="str">
        <f>HYPERLINK("https://anilist.co/staff/112215","Staff: Atsumi Tanezaki (Theme Song Performance (ED eps 1, 7, 8, 13))")</f>
        <v>Staff: Atsumi Tanezaki (Theme Song Performance (ED eps 1, 7, 8, 13))</v>
      </c>
      <c r="B2241" s="5">
        <v>70</v>
      </c>
      <c r="C2241" s="9">
        <v>1</v>
      </c>
      <c r="D2241" s="6">
        <v>1.4054813773717499E-4</v>
      </c>
      <c r="E2241" s="7">
        <v>9.8383696416022397E-3</v>
      </c>
    </row>
    <row r="2242" spans="1:5" x14ac:dyDescent="0.3">
      <c r="A2242" t="str">
        <f>HYPERLINK("https://anilist.co/staff/108639","Staff: Maaya Uchida (Insert Song Performance (ep 10))")</f>
        <v>Staff: Maaya Uchida (Insert Song Performance (ep 10))</v>
      </c>
      <c r="B2242" s="5">
        <v>70</v>
      </c>
      <c r="C2242" s="9">
        <v>1</v>
      </c>
      <c r="D2242" s="6">
        <v>1.4054813773717499E-4</v>
      </c>
      <c r="E2242" s="7">
        <v>9.8383696416022397E-3</v>
      </c>
    </row>
    <row r="2243" spans="1:5" x14ac:dyDescent="0.3">
      <c r="A2243" t="str">
        <f>HYPERLINK("https://anilist.co/staff/134794","Staff: Daisuke Hiramaki (Storyboard (ep 5))")</f>
        <v>Staff: Daisuke Hiramaki (Storyboard (ep 5))</v>
      </c>
      <c r="B2243" s="5">
        <v>70</v>
      </c>
      <c r="C2243" s="9">
        <v>1</v>
      </c>
      <c r="D2243" s="6">
        <v>1.4054813773717499E-4</v>
      </c>
      <c r="E2243" s="7">
        <v>9.8383696416022397E-3</v>
      </c>
    </row>
    <row r="2244" spans="1:5" x14ac:dyDescent="0.3">
      <c r="A2244" t="str">
        <f>HYPERLINK("https://anilist.co/staff/134795","Staff: Kazuki Horiguchi (Storyboard (ep 11))")</f>
        <v>Staff: Kazuki Horiguchi (Storyboard (ep 11))</v>
      </c>
      <c r="B2244" s="5">
        <v>70</v>
      </c>
      <c r="C2244" s="9">
        <v>1</v>
      </c>
      <c r="D2244" s="6">
        <v>1.4054813773717499E-4</v>
      </c>
      <c r="E2244" s="7">
        <v>9.8383696416022397E-3</v>
      </c>
    </row>
    <row r="2245" spans="1:5" x14ac:dyDescent="0.3">
      <c r="A2245" t="str">
        <f>HYPERLINK("https://anilist.co/staff/119342","Staff: Masato Jinbou (Series Composition)")</f>
        <v>Staff: Masato Jinbou (Series Composition)</v>
      </c>
      <c r="B2245" s="5">
        <v>70</v>
      </c>
      <c r="C2245" s="9">
        <v>1</v>
      </c>
      <c r="D2245" s="6">
        <v>1.4054813773717499E-4</v>
      </c>
      <c r="E2245" s="7">
        <v>9.8383696416022397E-3</v>
      </c>
    </row>
    <row r="2246" spans="1:5" x14ac:dyDescent="0.3">
      <c r="A2246" t="str">
        <f>HYPERLINK("https://anilist.co/staff/119342","Staff: Masato Jinbou (Director)")</f>
        <v>Staff: Masato Jinbou (Director)</v>
      </c>
      <c r="B2246" s="5">
        <v>70</v>
      </c>
      <c r="C2246" s="9">
        <v>1</v>
      </c>
      <c r="D2246" s="6">
        <v>1.4054813773717499E-4</v>
      </c>
      <c r="E2246" s="7">
        <v>9.8383696416022397E-3</v>
      </c>
    </row>
    <row r="2247" spans="1:5" x14ac:dyDescent="0.3">
      <c r="A2247" t="str">
        <f>HYPERLINK("https://anilist.co/staff/122225","Staff: Masakuni Igarashi (Original Creator)")</f>
        <v>Staff: Masakuni Igarashi (Original Creator)</v>
      </c>
      <c r="B2247" s="5">
        <v>70</v>
      </c>
      <c r="C2247" s="9">
        <v>1</v>
      </c>
      <c r="D2247" s="6">
        <v>1.4054813773717499E-4</v>
      </c>
      <c r="E2247" s="7">
        <v>9.8383696416022397E-3</v>
      </c>
    </row>
    <row r="2248" spans="1:5" x14ac:dyDescent="0.3">
      <c r="A2248" t="str">
        <f>HYPERLINK("https://anilist.co/staff/137899","Staff: Maki Hashimoto (Character Design)")</f>
        <v>Staff: Maki Hashimoto (Character Design)</v>
      </c>
      <c r="B2248" s="5">
        <v>70</v>
      </c>
      <c r="C2248" s="9">
        <v>1</v>
      </c>
      <c r="D2248" s="6">
        <v>1.4054813773717499E-4</v>
      </c>
      <c r="E2248" s="7">
        <v>9.8383696416022397E-3</v>
      </c>
    </row>
    <row r="2249" spans="1:5" x14ac:dyDescent="0.3">
      <c r="A2249" t="str">
        <f>HYPERLINK("https://anilist.co/staff/137900","Staff: Shinobu Takahashi (Art Director)")</f>
        <v>Staff: Shinobu Takahashi (Art Director)</v>
      </c>
      <c r="B2249" s="5">
        <v>70</v>
      </c>
      <c r="C2249" s="9">
        <v>1</v>
      </c>
      <c r="D2249" s="6">
        <v>1.4054813773717499E-4</v>
      </c>
      <c r="E2249" s="7">
        <v>9.8383696416022397E-3</v>
      </c>
    </row>
    <row r="2250" spans="1:5" x14ac:dyDescent="0.3">
      <c r="A2250" t="str">
        <f>HYPERLINK("https://anilist.co/staff/168303","Staff: Sonoko Inoue (Theme Song Performance (OP))")</f>
        <v>Staff: Sonoko Inoue (Theme Song Performance (OP))</v>
      </c>
      <c r="B2250" s="5">
        <v>70</v>
      </c>
      <c r="C2250" s="9">
        <v>1</v>
      </c>
      <c r="D2250" s="6">
        <v>1.4054813773717499E-4</v>
      </c>
      <c r="E2250" s="7">
        <v>9.8383696416022397E-3</v>
      </c>
    </row>
    <row r="2251" spans="1:5" x14ac:dyDescent="0.3">
      <c r="A2251" t="str">
        <f>HYPERLINK("https://anilist.co/staff/119900","Staff: Rikako Aida (Theme Song Performance (ED))")</f>
        <v>Staff: Rikako Aida (Theme Song Performance (ED))</v>
      </c>
      <c r="B2251" s="5">
        <v>70</v>
      </c>
      <c r="C2251" s="9">
        <v>1</v>
      </c>
      <c r="D2251" s="6">
        <v>1.4054813773717499E-4</v>
      </c>
      <c r="E2251" s="7">
        <v>9.8383696416022397E-3</v>
      </c>
    </row>
    <row r="2252" spans="1:5" x14ac:dyDescent="0.3">
      <c r="A2252" t="str">
        <f>HYPERLINK("https://anilist.co/staff/149706","Staff: Hirotoshi Kurita (Original Work Assistance)")</f>
        <v>Staff: Hirotoshi Kurita (Original Work Assistance)</v>
      </c>
      <c r="B2252" s="5">
        <v>70</v>
      </c>
      <c r="C2252" s="9">
        <v>1</v>
      </c>
      <c r="D2252" s="6">
        <v>1.4054813773717499E-4</v>
      </c>
      <c r="E2252" s="7">
        <v>9.8383696416022397E-3</v>
      </c>
    </row>
    <row r="2253" spans="1:5" x14ac:dyDescent="0.3">
      <c r="A2253" t="str">
        <f>HYPERLINK("https://anilist.co/staff/142338","Staff: Hiroo Maruyama (Planning)")</f>
        <v>Staff: Hiroo Maruyama (Planning)</v>
      </c>
      <c r="B2253" s="5">
        <v>70</v>
      </c>
      <c r="C2253" s="9">
        <v>1</v>
      </c>
      <c r="D2253" s="6">
        <v>1.4054813773717499E-4</v>
      </c>
      <c r="E2253" s="7">
        <v>9.8383696416022397E-3</v>
      </c>
    </row>
    <row r="2254" spans="1:5" x14ac:dyDescent="0.3">
      <c r="A2254" t="str">
        <f>HYPERLINK("https://anilist.co/staff/199469","Staff: Rina Shinoda (Producer)")</f>
        <v>Staff: Rina Shinoda (Producer)</v>
      </c>
      <c r="B2254" s="5">
        <v>70</v>
      </c>
      <c r="C2254" s="9">
        <v>1</v>
      </c>
      <c r="D2254" s="6">
        <v>1.4054813773717499E-4</v>
      </c>
      <c r="E2254" s="7">
        <v>9.8383696416022397E-3</v>
      </c>
    </row>
    <row r="2255" spans="1:5" x14ac:dyDescent="0.3">
      <c r="A2255" t="str">
        <f>HYPERLINK("https://anilist.co/staff/199489","Staff: Masaki Fujie (Music Producer)")</f>
        <v>Staff: Masaki Fujie (Music Producer)</v>
      </c>
      <c r="B2255" s="5">
        <v>70</v>
      </c>
      <c r="C2255" s="9">
        <v>1</v>
      </c>
      <c r="D2255" s="6">
        <v>1.4054813773717499E-4</v>
      </c>
      <c r="E2255" s="7">
        <v>9.8383696416022397E-3</v>
      </c>
    </row>
    <row r="2256" spans="1:5" x14ac:dyDescent="0.3">
      <c r="A2256" t="str">
        <f>HYPERLINK("https://anilist.co/staff/149705","Staff: Naokazu Tsuruta (Production)")</f>
        <v>Staff: Naokazu Tsuruta (Production)</v>
      </c>
      <c r="B2256" s="5">
        <v>70</v>
      </c>
      <c r="C2256" s="9">
        <v>1</v>
      </c>
      <c r="D2256" s="6">
        <v>1.4054813773717499E-4</v>
      </c>
      <c r="E2256" s="7">
        <v>9.8383696416022397E-3</v>
      </c>
    </row>
    <row r="2257" spans="1:5" x14ac:dyDescent="0.3">
      <c r="A2257" t="str">
        <f>HYPERLINK("https://anilist.co/staff/150016","Staff: Masataka Mikami (Music Producer)")</f>
        <v>Staff: Masataka Mikami (Music Producer)</v>
      </c>
      <c r="B2257" s="5">
        <v>70</v>
      </c>
      <c r="C2257" s="9">
        <v>1</v>
      </c>
      <c r="D2257" s="6">
        <v>1.4054813773717499E-4</v>
      </c>
      <c r="E2257" s="7">
        <v>9.8383696416022397E-3</v>
      </c>
    </row>
    <row r="2258" spans="1:5" x14ac:dyDescent="0.3">
      <c r="A2258" t="str">
        <f>HYPERLINK("https://anilist.co/staff/142336","Staff: Hiroshi Kamei (Producer)")</f>
        <v>Staff: Hiroshi Kamei (Producer)</v>
      </c>
      <c r="B2258" s="5">
        <v>70</v>
      </c>
      <c r="C2258" s="9">
        <v>1</v>
      </c>
      <c r="D2258" s="6">
        <v>1.4054813773717499E-4</v>
      </c>
      <c r="E2258" s="7">
        <v>9.8383696416022397E-3</v>
      </c>
    </row>
    <row r="2259" spans="1:5" x14ac:dyDescent="0.3">
      <c r="A2259" t="str">
        <f>HYPERLINK("https://anilist.co/staff/149704","Staff: Yuusuke Muranaka (Planning)")</f>
        <v>Staff: Yuusuke Muranaka (Planning)</v>
      </c>
      <c r="B2259" s="5">
        <v>70</v>
      </c>
      <c r="C2259" s="9">
        <v>1</v>
      </c>
      <c r="D2259" s="6">
        <v>1.4054813773717499E-4</v>
      </c>
      <c r="E2259" s="7">
        <v>9.8383696416022397E-3</v>
      </c>
    </row>
    <row r="2260" spans="1:5" x14ac:dyDescent="0.3">
      <c r="A2260" t="str">
        <f>HYPERLINK("https://anilist.co/staff/148566","Staff: Makoto Furukawa (Producer)")</f>
        <v>Staff: Makoto Furukawa (Producer)</v>
      </c>
      <c r="B2260" s="5">
        <v>70</v>
      </c>
      <c r="C2260" s="9">
        <v>1</v>
      </c>
      <c r="D2260" s="6">
        <v>1.4054813773717499E-4</v>
      </c>
      <c r="E2260" s="7">
        <v>9.8383696416022397E-3</v>
      </c>
    </row>
    <row r="2261" spans="1:5" x14ac:dyDescent="0.3">
      <c r="A2261" t="str">
        <f>HYPERLINK("https://anilist.co/staff/218829","Staff: Satoshi Hiratsuka (Original Work Assistance)")</f>
        <v>Staff: Satoshi Hiratsuka (Original Work Assistance)</v>
      </c>
      <c r="B2261" s="5">
        <v>70</v>
      </c>
      <c r="C2261" s="9">
        <v>1</v>
      </c>
      <c r="D2261" s="6">
        <v>1.4054813773717499E-4</v>
      </c>
      <c r="E2261" s="7">
        <v>9.8383696416022397E-3</v>
      </c>
    </row>
    <row r="2262" spans="1:5" x14ac:dyDescent="0.3">
      <c r="A2262" t="str">
        <f>HYPERLINK("https://anilist.co/staff/149287","Staff: Hideyuki Igarashi (Production)")</f>
        <v>Staff: Hideyuki Igarashi (Production)</v>
      </c>
      <c r="B2262" s="5">
        <v>70</v>
      </c>
      <c r="C2262" s="9">
        <v>1</v>
      </c>
      <c r="D2262" s="6">
        <v>1.4054813773717499E-4</v>
      </c>
      <c r="E2262" s="7">
        <v>9.8383696416022397E-3</v>
      </c>
    </row>
    <row r="2263" spans="1:5" x14ac:dyDescent="0.3">
      <c r="A2263" t="str">
        <f>HYPERLINK("https://anilist.co/staff/95654","Staff: Tony Oliver (ADR Director)")</f>
        <v>Staff: Tony Oliver (ADR Director)</v>
      </c>
      <c r="B2263" s="5">
        <v>70</v>
      </c>
      <c r="C2263" s="9">
        <v>1</v>
      </c>
      <c r="D2263" s="6">
        <v>1.4054813773717499E-4</v>
      </c>
      <c r="E2263" s="7">
        <v>9.8383696416022397E-3</v>
      </c>
    </row>
    <row r="2264" spans="1:5" x14ac:dyDescent="0.3">
      <c r="A2264" t="str">
        <f>HYPERLINK("https://anilist.co/staff/95762","Staff: Kanae Itou (Theme Song Performance  (ED))")</f>
        <v>Staff: Kanae Itou (Theme Song Performance  (ED))</v>
      </c>
      <c r="B2264" s="5">
        <v>70</v>
      </c>
      <c r="C2264" s="9">
        <v>1</v>
      </c>
      <c r="D2264" s="6">
        <v>1.4054813773717499E-4</v>
      </c>
      <c r="E2264" s="7">
        <v>9.8383696416022397E-3</v>
      </c>
    </row>
    <row r="2265" spans="1:5" x14ac:dyDescent="0.3">
      <c r="A2265" t="str">
        <f>HYPERLINK("https://anilist.co/staff/97096","Staff: Michiko Yokote (Series Composition)")</f>
        <v>Staff: Michiko Yokote (Series Composition)</v>
      </c>
      <c r="B2265" s="5">
        <v>70</v>
      </c>
      <c r="C2265" s="9">
        <v>1</v>
      </c>
      <c r="D2265" s="6">
        <v>1.4054813773717499E-4</v>
      </c>
      <c r="E2265" s="7">
        <v>9.8383696416022397E-3</v>
      </c>
    </row>
    <row r="2266" spans="1:5" x14ac:dyDescent="0.3">
      <c r="A2266" t="str">
        <f>HYPERLINK("https://anilist.co/staff/97096","Staff: Michiko Yokote (Script  (ep 1, 2, 4, 5, 8, 10A, 10B, 11A, 12B, 12C))")</f>
        <v>Staff: Michiko Yokote (Script  (ep 1, 2, 4, 5, 8, 10A, 10B, 11A, 12B, 12C))</v>
      </c>
      <c r="B2266" s="5">
        <v>70</v>
      </c>
      <c r="C2266" s="9">
        <v>1</v>
      </c>
      <c r="D2266" s="6">
        <v>1.4054813773717499E-4</v>
      </c>
      <c r="E2266" s="7">
        <v>9.8383696416022397E-3</v>
      </c>
    </row>
    <row r="2267" spans="1:5" x14ac:dyDescent="0.3">
      <c r="A2267" t="str">
        <f>HYPERLINK("https://anilist.co/staff/101013","Staff: Masakazu Ishikawa (Chief Animation Director)")</f>
        <v>Staff: Masakazu Ishikawa (Chief Animation Director)</v>
      </c>
      <c r="B2267" s="5">
        <v>70</v>
      </c>
      <c r="C2267" s="9">
        <v>1</v>
      </c>
      <c r="D2267" s="6">
        <v>1.4054813773717499E-4</v>
      </c>
      <c r="E2267" s="7">
        <v>9.8383696416022397E-3</v>
      </c>
    </row>
    <row r="2268" spans="1:5" x14ac:dyDescent="0.3">
      <c r="A2268" t="str">
        <f>HYPERLINK("https://anilist.co/staff/102255","Staff: Masahiro Anbe (Original Creator)")</f>
        <v>Staff: Masahiro Anbe (Original Creator)</v>
      </c>
      <c r="B2268" s="5">
        <v>70</v>
      </c>
      <c r="C2268" s="9">
        <v>1</v>
      </c>
      <c r="D2268" s="6">
        <v>1.4054813773717499E-4</v>
      </c>
      <c r="E2268" s="7">
        <v>9.8383696416022397E-3</v>
      </c>
    </row>
    <row r="2269" spans="1:5" x14ac:dyDescent="0.3">
      <c r="A2269" t="str">
        <f>HYPERLINK("https://anilist.co/staff/103555","Staff: Hisako Kanemoto (Theme Song Performance  (OP))")</f>
        <v>Staff: Hisako Kanemoto (Theme Song Performance  (OP))</v>
      </c>
      <c r="B2269" s="5">
        <v>70</v>
      </c>
      <c r="C2269" s="9">
        <v>1</v>
      </c>
      <c r="D2269" s="6">
        <v>1.4054813773717499E-4</v>
      </c>
      <c r="E2269" s="7">
        <v>9.8383696416022397E-3</v>
      </c>
    </row>
    <row r="2270" spans="1:5" x14ac:dyDescent="0.3">
      <c r="A2270" t="str">
        <f>HYPERLINK("https://anilist.co/staff/104552","Staff: Tsutomu Mizushima (Episode Director)")</f>
        <v>Staff: Tsutomu Mizushima (Episode Director)</v>
      </c>
      <c r="B2270" s="5">
        <v>70</v>
      </c>
      <c r="C2270" s="9">
        <v>1</v>
      </c>
      <c r="D2270" s="6">
        <v>1.4054813773717499E-4</v>
      </c>
      <c r="E2270" s="7">
        <v>9.8383696416022397E-3</v>
      </c>
    </row>
    <row r="2271" spans="1:5" x14ac:dyDescent="0.3">
      <c r="A2271" t="str">
        <f>HYPERLINK("https://anilist.co/staff/104552","Staff: Tsutomu Mizushima (Screenplay)")</f>
        <v>Staff: Tsutomu Mizushima (Screenplay)</v>
      </c>
      <c r="B2271" s="5">
        <v>70</v>
      </c>
      <c r="C2271" s="9">
        <v>1</v>
      </c>
      <c r="D2271" s="6">
        <v>1.4054813773717499E-4</v>
      </c>
      <c r="E2271" s="7">
        <v>9.8383696416022397E-3</v>
      </c>
    </row>
    <row r="2272" spans="1:5" x14ac:dyDescent="0.3">
      <c r="A2272" t="str">
        <f>HYPERLINK("https://anilist.co/staff/104552","Staff: Tsutomu Mizushima (Storyboard)")</f>
        <v>Staff: Tsutomu Mizushima (Storyboard)</v>
      </c>
      <c r="B2272" s="5">
        <v>70</v>
      </c>
      <c r="C2272" s="9">
        <v>1</v>
      </c>
      <c r="D2272" s="6">
        <v>1.4054813773717499E-4</v>
      </c>
      <c r="E2272" s="7">
        <v>9.8383696416022397E-3</v>
      </c>
    </row>
    <row r="2273" spans="1:5" x14ac:dyDescent="0.3">
      <c r="A2273" t="str">
        <f>HYPERLINK("https://anilist.co/staff/104552","Staff: Tsutomu Mizushima (Director)")</f>
        <v>Staff: Tsutomu Mizushima (Director)</v>
      </c>
      <c r="B2273" s="5">
        <v>70</v>
      </c>
      <c r="C2273" s="9">
        <v>1</v>
      </c>
      <c r="D2273" s="6">
        <v>1.4054813773717499E-4</v>
      </c>
      <c r="E2273" s="7">
        <v>9.8383696416022397E-3</v>
      </c>
    </row>
    <row r="2274" spans="1:5" x14ac:dyDescent="0.3">
      <c r="A2274" t="str">
        <f>HYPERLINK("https://anilist.co/staff/106426","Staff: Fumitoshi Oizaki (Key Animation  (OP))")</f>
        <v>Staff: Fumitoshi Oizaki (Key Animation  (OP))</v>
      </c>
      <c r="B2274" s="5">
        <v>70</v>
      </c>
      <c r="C2274" s="9">
        <v>1</v>
      </c>
      <c r="D2274" s="6">
        <v>1.4054813773717499E-4</v>
      </c>
      <c r="E2274" s="7">
        <v>9.8383696416022397E-3</v>
      </c>
    </row>
    <row r="2275" spans="1:5" x14ac:dyDescent="0.3">
      <c r="A2275" t="str">
        <f>HYPERLINK("https://anilist.co/staff/110107","Staff: Naokatsu Tsuda (Storyboard  (eps 5a, 10a))")</f>
        <v>Staff: Naokatsu Tsuda (Storyboard  (eps 5a, 10a))</v>
      </c>
      <c r="B2275" s="5">
        <v>70</v>
      </c>
      <c r="C2275" s="9">
        <v>1</v>
      </c>
      <c r="D2275" s="6">
        <v>1.4054813773717499E-4</v>
      </c>
      <c r="E2275" s="7">
        <v>9.8383696416022397E-3</v>
      </c>
    </row>
    <row r="2276" spans="1:5" x14ac:dyDescent="0.3">
      <c r="A2276" t="str">
        <f>HYPERLINK("https://anilist.co/staff/110107","Staff: Naokatsu Tsuda (Episode Director  (eps 5a, 10a, 10b))")</f>
        <v>Staff: Naokatsu Tsuda (Episode Director  (eps 5a, 10a, 10b))</v>
      </c>
      <c r="B2276" s="5">
        <v>70</v>
      </c>
      <c r="C2276" s="9">
        <v>1</v>
      </c>
      <c r="D2276" s="6">
        <v>1.4054813773717499E-4</v>
      </c>
      <c r="E2276" s="7">
        <v>9.8383696416022397E-3</v>
      </c>
    </row>
    <row r="2277" spans="1:5" x14ac:dyDescent="0.3">
      <c r="A2277" t="str">
        <f>HYPERLINK("https://anilist.co/staff/110665","Staff: Toshinari Yamashita (Key Animation  (ep 7))")</f>
        <v>Staff: Toshinari Yamashita (Key Animation  (ep 7))</v>
      </c>
      <c r="B2277" s="5">
        <v>70</v>
      </c>
      <c r="C2277" s="9">
        <v>1</v>
      </c>
      <c r="D2277" s="6">
        <v>1.4054813773717499E-4</v>
      </c>
      <c r="E2277" s="7">
        <v>9.8383696416022397E-3</v>
      </c>
    </row>
    <row r="2278" spans="1:5" x14ac:dyDescent="0.3">
      <c r="A2278" t="str">
        <f>HYPERLINK("https://anilist.co/staff/110913","Staff:  Ultra-Prism (Theme Song Performance  (OP))")</f>
        <v>Staff:  Ultra-Prism (Theme Song Performance  (OP))</v>
      </c>
      <c r="B2278" s="5">
        <v>70</v>
      </c>
      <c r="C2278" s="9">
        <v>1</v>
      </c>
      <c r="D2278" s="6">
        <v>1.4054813773717499E-4</v>
      </c>
      <c r="E2278" s="7">
        <v>9.8383696416022397E-3</v>
      </c>
    </row>
    <row r="2279" spans="1:5" x14ac:dyDescent="0.3">
      <c r="A2279" t="str">
        <f>HYPERLINK("https://anilist.co/staff/111355","Staff: Shigeru Kimiya (Storyboard  (eps 6B, 6C))")</f>
        <v>Staff: Shigeru Kimiya (Storyboard  (eps 6B, 6C))</v>
      </c>
      <c r="B2279" s="5">
        <v>70</v>
      </c>
      <c r="C2279" s="9">
        <v>1</v>
      </c>
      <c r="D2279" s="6">
        <v>1.4054813773717499E-4</v>
      </c>
      <c r="E2279" s="7">
        <v>9.8383696416022397E-3</v>
      </c>
    </row>
    <row r="2280" spans="1:5" x14ac:dyDescent="0.3">
      <c r="A2280" t="str">
        <f>HYPERLINK("https://anilist.co/staff/111355","Staff: Shigeru Kimiya (Episode Director  (eps 6B, 6C))")</f>
        <v>Staff: Shigeru Kimiya (Episode Director  (eps 6B, 6C))</v>
      </c>
      <c r="B2280" s="5">
        <v>70</v>
      </c>
      <c r="C2280" s="9">
        <v>1</v>
      </c>
      <c r="D2280" s="6">
        <v>1.4054813773717499E-4</v>
      </c>
      <c r="E2280" s="7">
        <v>9.8383696416022397E-3</v>
      </c>
    </row>
    <row r="2281" spans="1:5" x14ac:dyDescent="0.3">
      <c r="A2281" t="str">
        <f>HYPERLINK("https://anilist.co/staff/111397","Staff: Aki Tsunaki (Key Animation  (ED))")</f>
        <v>Staff: Aki Tsunaki (Key Animation  (ED))</v>
      </c>
      <c r="B2281" s="5">
        <v>70</v>
      </c>
      <c r="C2281" s="9">
        <v>1</v>
      </c>
      <c r="D2281" s="6">
        <v>1.4054813773717499E-4</v>
      </c>
      <c r="E2281" s="7">
        <v>9.8383696416022397E-3</v>
      </c>
    </row>
    <row r="2282" spans="1:5" x14ac:dyDescent="0.3">
      <c r="A2282" t="str">
        <f>HYPERLINK("https://anilist.co/staff/113001","Staff: Takahiro Chiba (Key Animation  (ep 11))")</f>
        <v>Staff: Takahiro Chiba (Key Animation  (ep 11))</v>
      </c>
      <c r="B2282" s="5">
        <v>70</v>
      </c>
      <c r="C2282" s="9">
        <v>1</v>
      </c>
      <c r="D2282" s="6">
        <v>1.4054813773717499E-4</v>
      </c>
      <c r="E2282" s="7">
        <v>9.8383696416022397E-3</v>
      </c>
    </row>
    <row r="2283" spans="1:5" x14ac:dyDescent="0.3">
      <c r="A2283" t="str">
        <f>HYPERLINK("https://anilist.co/staff/113601","Staff: Naomi Ide (Key Animation  (OP))")</f>
        <v>Staff: Naomi Ide (Key Animation  (OP))</v>
      </c>
      <c r="B2283" s="5">
        <v>70</v>
      </c>
      <c r="C2283" s="9">
        <v>1</v>
      </c>
      <c r="D2283" s="6">
        <v>1.4054813773717499E-4</v>
      </c>
      <c r="E2283" s="7">
        <v>9.8383696416022397E-3</v>
      </c>
    </row>
    <row r="2284" spans="1:5" x14ac:dyDescent="0.3">
      <c r="A2284" t="str">
        <f>HYPERLINK("https://anilist.co/staff/113601","Staff: Naomi Ide (Episode Director  (ep 5c))")</f>
        <v>Staff: Naomi Ide (Episode Director  (ep 5c))</v>
      </c>
      <c r="B2284" s="5">
        <v>70</v>
      </c>
      <c r="C2284" s="9">
        <v>1</v>
      </c>
      <c r="D2284" s="6">
        <v>1.4054813773717499E-4</v>
      </c>
      <c r="E2284" s="7">
        <v>9.8383696416022397E-3</v>
      </c>
    </row>
    <row r="2285" spans="1:5" x14ac:dyDescent="0.3">
      <c r="A2285" t="str">
        <f>HYPERLINK("https://anilist.co/staff/114311","Staff: Yuusuke Matsuo (Key Animation  (ep 11))")</f>
        <v>Staff: Yuusuke Matsuo (Key Animation  (ep 11))</v>
      </c>
      <c r="B2285" s="5">
        <v>70</v>
      </c>
      <c r="C2285" s="9">
        <v>1</v>
      </c>
      <c r="D2285" s="6">
        <v>1.4054813773717499E-4</v>
      </c>
      <c r="E2285" s="7">
        <v>9.8383696416022397E-3</v>
      </c>
    </row>
    <row r="2286" spans="1:5" x14ac:dyDescent="0.3">
      <c r="A2286" t="str">
        <f>HYPERLINK("https://anilist.co/staff/101323","Staff: CooRie  (Theme Song Performance (ED))")</f>
        <v>Staff: CooRie  (Theme Song Performance (ED))</v>
      </c>
      <c r="B2286" s="5">
        <v>70</v>
      </c>
      <c r="C2286" s="9">
        <v>1</v>
      </c>
      <c r="D2286" s="6">
        <v>1.4054813773717499E-4</v>
      </c>
      <c r="E2286" s="7">
        <v>9.8383696416022397E-3</v>
      </c>
    </row>
    <row r="2287" spans="1:5" x14ac:dyDescent="0.3">
      <c r="A2287" t="str">
        <f>HYPERLINK("https://anilist.co/staff/135544","Staff: Eiichi Takahashi (Executive Producer (English))")</f>
        <v>Staff: Eiichi Takahashi (Executive Producer (English))</v>
      </c>
      <c r="B2287" s="5">
        <v>70</v>
      </c>
      <c r="C2287" s="9">
        <v>1</v>
      </c>
      <c r="D2287" s="6">
        <v>1.4054813773717499E-4</v>
      </c>
      <c r="E2287" s="7">
        <v>9.8383696416022397E-3</v>
      </c>
    </row>
    <row r="2288" spans="1:5" x14ac:dyDescent="0.3">
      <c r="A2288" t="str">
        <f>HYPERLINK("https://anilist.co/staff/95201","Staff: John Swasey (ADR Director (English))")</f>
        <v>Staff: John Swasey (ADR Director (English))</v>
      </c>
      <c r="B2288" s="5">
        <v>70</v>
      </c>
      <c r="C2288" s="9">
        <v>1</v>
      </c>
      <c r="D2288" s="6">
        <v>1.4054813773717499E-4</v>
      </c>
      <c r="E2288" s="7">
        <v>9.8383696416022397E-3</v>
      </c>
    </row>
    <row r="2289" spans="1:5" x14ac:dyDescent="0.3">
      <c r="A2289" t="str">
        <f>HYPERLINK("https://anilist.co/staff/142328","Staff: Kozue Kananiwa (Planning)")</f>
        <v>Staff: Kozue Kananiwa (Planning)</v>
      </c>
      <c r="B2289" s="5">
        <v>70</v>
      </c>
      <c r="C2289" s="9">
        <v>1</v>
      </c>
      <c r="D2289" s="6">
        <v>1.4054813773717499E-4</v>
      </c>
      <c r="E2289" s="7">
        <v>9.8383696416022397E-3</v>
      </c>
    </row>
    <row r="2290" spans="1:5" x14ac:dyDescent="0.3">
      <c r="A2290" t="str">
        <f>HYPERLINK("https://anilist.co/staff/148493","Staff: Hayato Kaneko (Planning)")</f>
        <v>Staff: Hayato Kaneko (Planning)</v>
      </c>
      <c r="B2290" s="5">
        <v>70</v>
      </c>
      <c r="C2290" s="9">
        <v>1</v>
      </c>
      <c r="D2290" s="6">
        <v>1.4054813773717499E-4</v>
      </c>
      <c r="E2290" s="7">
        <v>9.8383696416022397E-3</v>
      </c>
    </row>
    <row r="2291" spans="1:5" x14ac:dyDescent="0.3">
      <c r="A2291" t="str">
        <f>HYPERLINK("https://anilist.co/staff/153803","Staff: Kouta Kuroda (Planning)")</f>
        <v>Staff: Kouta Kuroda (Planning)</v>
      </c>
      <c r="B2291" s="5">
        <v>70</v>
      </c>
      <c r="C2291" s="9">
        <v>1</v>
      </c>
      <c r="D2291" s="6">
        <v>1.4054813773717499E-4</v>
      </c>
      <c r="E2291" s="7">
        <v>9.8383696416022397E-3</v>
      </c>
    </row>
    <row r="2292" spans="1:5" x14ac:dyDescent="0.3">
      <c r="A2292" t="str">
        <f>HYPERLINK("https://anilist.co/staff/98074","Staff: Akemi Omode (Series Composition)")</f>
        <v>Staff: Akemi Omode (Series Composition)</v>
      </c>
      <c r="B2292" s="5">
        <v>70</v>
      </c>
      <c r="C2292" s="9">
        <v>1</v>
      </c>
      <c r="D2292" s="6">
        <v>1.4054813773717499E-4</v>
      </c>
      <c r="E2292" s="7">
        <v>9.8383696416022397E-3</v>
      </c>
    </row>
    <row r="2293" spans="1:5" x14ac:dyDescent="0.3">
      <c r="A2293" t="str">
        <f>HYPERLINK("https://anilist.co/staff/153596","Staff: Kenji Hamada (Planning)")</f>
        <v>Staff: Kenji Hamada (Planning)</v>
      </c>
      <c r="B2293" s="5">
        <v>70</v>
      </c>
      <c r="C2293" s="9">
        <v>1</v>
      </c>
      <c r="D2293" s="6">
        <v>1.4054813773717499E-4</v>
      </c>
      <c r="E2293" s="7">
        <v>9.8383696416022397E-3</v>
      </c>
    </row>
    <row r="2294" spans="1:5" x14ac:dyDescent="0.3">
      <c r="A2294" t="str">
        <f>HYPERLINK("https://anilist.co/staff/151514","Staff: Tsutomu Yanagimura (Planning)")</f>
        <v>Staff: Tsutomu Yanagimura (Planning)</v>
      </c>
      <c r="B2294" s="5">
        <v>70</v>
      </c>
      <c r="C2294" s="9">
        <v>1</v>
      </c>
      <c r="D2294" s="6">
        <v>1.4054813773717499E-4</v>
      </c>
      <c r="E2294" s="7">
        <v>9.8383696416022397E-3</v>
      </c>
    </row>
    <row r="2295" spans="1:5" x14ac:dyDescent="0.3">
      <c r="A2295" t="str">
        <f>HYPERLINK("https://anilist.co/staff/120039","Staff: Daiki Kuribayashi (Art Director)")</f>
        <v>Staff: Daiki Kuribayashi (Art Director)</v>
      </c>
      <c r="B2295" s="5">
        <v>70</v>
      </c>
      <c r="C2295" s="9">
        <v>1</v>
      </c>
      <c r="D2295" s="6">
        <v>1.4054813773717499E-4</v>
      </c>
      <c r="E2295" s="7">
        <v>9.8383696416022397E-3</v>
      </c>
    </row>
    <row r="2296" spans="1:5" x14ac:dyDescent="0.3">
      <c r="A2296" t="str">
        <f>HYPERLINK("https://anilist.co/staff/103975","Staff: Mai Ootsuka (Prop Design)")</f>
        <v>Staff: Mai Ootsuka (Prop Design)</v>
      </c>
      <c r="B2296" s="5">
        <v>70</v>
      </c>
      <c r="C2296" s="9">
        <v>1</v>
      </c>
      <c r="D2296" s="6">
        <v>1.4054813773717499E-4</v>
      </c>
      <c r="E2296" s="7">
        <v>9.8383696416022397E-3</v>
      </c>
    </row>
    <row r="2297" spans="1:5" x14ac:dyDescent="0.3">
      <c r="A2297" t="str">
        <f>HYPERLINK("https://anilist.co/staff/215134","Staff: Katsuyoshi Matsuura (Planning)")</f>
        <v>Staff: Katsuyoshi Matsuura (Planning)</v>
      </c>
      <c r="B2297" s="5">
        <v>70</v>
      </c>
      <c r="C2297" s="9">
        <v>1</v>
      </c>
      <c r="D2297" s="6">
        <v>1.4054813773717499E-4</v>
      </c>
      <c r="E2297" s="7">
        <v>9.8383696416022397E-3</v>
      </c>
    </row>
    <row r="2298" spans="1:5" x14ac:dyDescent="0.3">
      <c r="A2298" t="str">
        <f>HYPERLINK("https://anilist.co/staff/105678","Staff: Haruko Iizuka (Character Design)")</f>
        <v>Staff: Haruko Iizuka (Character Design)</v>
      </c>
      <c r="B2298" s="5">
        <v>70</v>
      </c>
      <c r="C2298" s="9">
        <v>1</v>
      </c>
      <c r="D2298" s="6">
        <v>1.4054813773717499E-4</v>
      </c>
      <c r="E2298" s="7">
        <v>9.8383696416022397E-3</v>
      </c>
    </row>
    <row r="2299" spans="1:5" x14ac:dyDescent="0.3">
      <c r="A2299" t="str">
        <f>HYPERLINK("https://anilist.co/staff/152704","Staff: Eri Shigetomi (Color Design)")</f>
        <v>Staff: Eri Shigetomi (Color Design)</v>
      </c>
      <c r="B2299" s="5">
        <v>70</v>
      </c>
      <c r="C2299" s="9">
        <v>1</v>
      </c>
      <c r="D2299" s="6">
        <v>1.4054813773717499E-4</v>
      </c>
      <c r="E2299" s="7">
        <v>9.8383696416022397E-3</v>
      </c>
    </row>
    <row r="2300" spans="1:5" x14ac:dyDescent="0.3">
      <c r="A2300" t="str">
        <f>HYPERLINK("https://anilist.co/staff/148493","Staff: Hayato Kaneko (Producer)")</f>
        <v>Staff: Hayato Kaneko (Producer)</v>
      </c>
      <c r="B2300" s="5">
        <v>70</v>
      </c>
      <c r="C2300" s="9">
        <v>1</v>
      </c>
      <c r="D2300" s="6">
        <v>1.4054813773717499E-4</v>
      </c>
      <c r="E2300" s="7">
        <v>9.8383696416022397E-3</v>
      </c>
    </row>
    <row r="2301" spans="1:5" x14ac:dyDescent="0.3">
      <c r="A2301" t="str">
        <f>HYPERLINK("https://anilist.co/staff/103834","Staff: Toshiki Kameyama (Sound Director)")</f>
        <v>Staff: Toshiki Kameyama (Sound Director)</v>
      </c>
      <c r="B2301" s="5">
        <v>70</v>
      </c>
      <c r="C2301" s="9">
        <v>1</v>
      </c>
      <c r="D2301" s="6">
        <v>1.4054813773717499E-4</v>
      </c>
      <c r="E2301" s="7">
        <v>9.8383696416022397E-3</v>
      </c>
    </row>
    <row r="2302" spans="1:5" x14ac:dyDescent="0.3">
      <c r="A2302" t="str">
        <f>HYPERLINK("https://anilist.co/staff/149882","Staff: Yuushi Ibe (Episode Director (eps 4, 11))")</f>
        <v>Staff: Yuushi Ibe (Episode Director (eps 4, 11))</v>
      </c>
      <c r="B2302" s="5">
        <v>70</v>
      </c>
      <c r="C2302" s="9">
        <v>1</v>
      </c>
      <c r="D2302" s="6">
        <v>1.4054813773717499E-4</v>
      </c>
      <c r="E2302" s="7">
        <v>9.8383696416022397E-3</v>
      </c>
    </row>
    <row r="2303" spans="1:5" x14ac:dyDescent="0.3">
      <c r="A2303" t="str">
        <f>HYPERLINK("https://anilist.co/staff/98074","Staff: Akemi Omode (Script (eps 1-12))")</f>
        <v>Staff: Akemi Omode (Script (eps 1-12))</v>
      </c>
      <c r="B2303" s="5">
        <v>70</v>
      </c>
      <c r="C2303" s="9">
        <v>1</v>
      </c>
      <c r="D2303" s="6">
        <v>1.4054813773717499E-4</v>
      </c>
      <c r="E2303" s="7">
        <v>9.8383696416022397E-3</v>
      </c>
    </row>
    <row r="2304" spans="1:5" x14ac:dyDescent="0.3">
      <c r="A2304" t="str">
        <f>HYPERLINK("https://anilist.co/staff/239457","Staff: Masashi Tsunemitsu (Production Desk)")</f>
        <v>Staff: Masashi Tsunemitsu (Production Desk)</v>
      </c>
      <c r="B2304" s="5">
        <v>70</v>
      </c>
      <c r="C2304" s="9">
        <v>1</v>
      </c>
      <c r="D2304" s="6">
        <v>1.4054813773717499E-4</v>
      </c>
      <c r="E2304" s="7">
        <v>9.8383696416022397E-3</v>
      </c>
    </row>
    <row r="2305" spans="1:5" x14ac:dyDescent="0.3">
      <c r="A2305" t="str">
        <f>HYPERLINK("https://anilist.co/staff/148174","Staff: Terushige Yoshie (Producer)")</f>
        <v>Staff: Terushige Yoshie (Producer)</v>
      </c>
      <c r="B2305" s="5">
        <v>70</v>
      </c>
      <c r="C2305" s="9">
        <v>1</v>
      </c>
      <c r="D2305" s="6">
        <v>1.4054813773717499E-4</v>
      </c>
      <c r="E2305" s="7">
        <v>9.8383696416022397E-3</v>
      </c>
    </row>
    <row r="2306" spans="1:5" x14ac:dyDescent="0.3">
      <c r="A2306" t="str">
        <f>HYPERLINK("https://anilist.co/staff/147294","Staff: Yousuke Imai (Planning)")</f>
        <v>Staff: Yousuke Imai (Planning)</v>
      </c>
      <c r="B2306" s="5">
        <v>70</v>
      </c>
      <c r="C2306" s="9">
        <v>1</v>
      </c>
      <c r="D2306" s="6">
        <v>1.4054813773717499E-4</v>
      </c>
      <c r="E2306" s="7">
        <v>9.8383696416022397E-3</v>
      </c>
    </row>
    <row r="2307" spans="1:5" x14ac:dyDescent="0.3">
      <c r="A2307" t="str">
        <f>HYPERLINK("https://anilist.co/staff/124621","Staff: Hiroshi Takiguchi (Art Director)")</f>
        <v>Staff: Hiroshi Takiguchi (Art Director)</v>
      </c>
      <c r="B2307" s="5">
        <v>70</v>
      </c>
      <c r="C2307" s="9">
        <v>1</v>
      </c>
      <c r="D2307" s="6">
        <v>1.4054813773717499E-4</v>
      </c>
      <c r="E2307" s="7">
        <v>9.8383696416022397E-3</v>
      </c>
    </row>
    <row r="2308" spans="1:5" x14ac:dyDescent="0.3">
      <c r="A2308" t="str">
        <f>HYPERLINK("https://anilist.co/staff/126955","Staff: RADWIMPS (Insert Song Performance)")</f>
        <v>Staff: RADWIMPS (Insert Song Performance)</v>
      </c>
      <c r="B2308" s="5">
        <v>70</v>
      </c>
      <c r="C2308" s="9">
        <v>1</v>
      </c>
      <c r="D2308" s="6">
        <v>1.4054813773717499E-4</v>
      </c>
      <c r="E2308" s="7">
        <v>9.8383696416022397E-3</v>
      </c>
    </row>
    <row r="2309" spans="1:5" x14ac:dyDescent="0.3">
      <c r="A2309" t="str">
        <f>HYPERLINK("https://anilist.co/staff/149790","Staff: Youjirou Noda (Insert Song Lyrics)")</f>
        <v>Staff: Youjirou Noda (Insert Song Lyrics)</v>
      </c>
      <c r="B2309" s="5">
        <v>70</v>
      </c>
      <c r="C2309" s="9">
        <v>1</v>
      </c>
      <c r="D2309" s="6">
        <v>1.4054813773717499E-4</v>
      </c>
      <c r="E2309" s="7">
        <v>9.8383696416022397E-3</v>
      </c>
    </row>
    <row r="2310" spans="1:5" x14ac:dyDescent="0.3">
      <c r="A2310" t="str">
        <f>HYPERLINK("https://anilist.co/staff/149791","Staff: Toko Miura (Insert Song Performance)")</f>
        <v>Staff: Toko Miura (Insert Song Performance)</v>
      </c>
      <c r="B2310" s="5">
        <v>70</v>
      </c>
      <c r="C2310" s="9">
        <v>1</v>
      </c>
      <c r="D2310" s="6">
        <v>1.4054813773717499E-4</v>
      </c>
      <c r="E2310" s="7">
        <v>9.8383696416022397E-3</v>
      </c>
    </row>
    <row r="2311" spans="1:5" x14ac:dyDescent="0.3">
      <c r="A2311" t="str">
        <f>HYPERLINK("https://anilist.co/staff/149790","Staff: Youjirou Noda (Insert Song Composition)")</f>
        <v>Staff: Youjirou Noda (Insert Song Composition)</v>
      </c>
      <c r="B2311" s="5">
        <v>70</v>
      </c>
      <c r="C2311" s="9">
        <v>1</v>
      </c>
      <c r="D2311" s="6">
        <v>1.4054813773717499E-4</v>
      </c>
      <c r="E2311" s="7">
        <v>9.8383696416022397E-3</v>
      </c>
    </row>
    <row r="2312" spans="1:5" x14ac:dyDescent="0.3">
      <c r="A2312" t="str">
        <f>HYPERLINK("https://anilist.co/staff/96117","Staff: Makoto Shinkai (Image Board)")</f>
        <v>Staff: Makoto Shinkai (Image Board)</v>
      </c>
      <c r="B2312" s="5">
        <v>70</v>
      </c>
      <c r="C2312" s="9">
        <v>1</v>
      </c>
      <c r="D2312" s="6">
        <v>1.4054813773717499E-4</v>
      </c>
      <c r="E2312" s="7">
        <v>9.8383696416022397E-3</v>
      </c>
    </row>
    <row r="2313" spans="1:5" x14ac:dyDescent="0.3">
      <c r="A2313" t="str">
        <f>HYPERLINK("https://anilist.co/staff/149794","Staff: Youko Miki (Assistant Director)")</f>
        <v>Staff: Youko Miki (Assistant Director)</v>
      </c>
      <c r="B2313" s="5">
        <v>70</v>
      </c>
      <c r="C2313" s="9">
        <v>1</v>
      </c>
      <c r="D2313" s="6">
        <v>1.4054813773717499E-4</v>
      </c>
      <c r="E2313" s="7">
        <v>9.8383696416022397E-3</v>
      </c>
    </row>
    <row r="2314" spans="1:5" x14ac:dyDescent="0.3">
      <c r="A2314" t="str">
        <f>HYPERLINK("https://anilist.co/staff/149793","Staff: Atsushi Tamura (Animation Director)")</f>
        <v>Staff: Atsushi Tamura (Animation Director)</v>
      </c>
      <c r="B2314" s="5">
        <v>70</v>
      </c>
      <c r="C2314" s="9">
        <v>1</v>
      </c>
      <c r="D2314" s="6">
        <v>1.4054813773717499E-4</v>
      </c>
      <c r="E2314" s="7">
        <v>9.8383696416022397E-3</v>
      </c>
    </row>
    <row r="2315" spans="1:5" x14ac:dyDescent="0.3">
      <c r="A2315" t="str">
        <f>HYPERLINK("https://anilist.co/staff/149792","Staff: Yuuga Tokuno (Unit Director)")</f>
        <v>Staff: Yuuga Tokuno (Unit Director)</v>
      </c>
      <c r="B2315" s="5">
        <v>70</v>
      </c>
      <c r="C2315" s="9">
        <v>1</v>
      </c>
      <c r="D2315" s="6">
        <v>1.4054813773717499E-4</v>
      </c>
      <c r="E2315" s="7">
        <v>9.8383696416022397E-3</v>
      </c>
    </row>
    <row r="2316" spans="1:5" x14ac:dyDescent="0.3">
      <c r="A2316" t="str">
        <f>HYPERLINK("https://anilist.co/staff/114934","Staff: Matthias von Stegmann (Script (German))")</f>
        <v>Staff: Matthias von Stegmann (Script (German))</v>
      </c>
      <c r="B2316" s="5">
        <v>70</v>
      </c>
      <c r="C2316" s="9">
        <v>1</v>
      </c>
      <c r="D2316" s="6">
        <v>1.4054813773717499E-4</v>
      </c>
      <c r="E2316" s="7">
        <v>9.8383696416022397E-3</v>
      </c>
    </row>
    <row r="2317" spans="1:5" x14ac:dyDescent="0.3">
      <c r="A2317" t="str">
        <f>HYPERLINK("https://anilist.co/staff/103115","Staff: Chiyoko Ueno (Key Animation)")</f>
        <v>Staff: Chiyoko Ueno (Key Animation)</v>
      </c>
      <c r="B2317" s="5">
        <v>70</v>
      </c>
      <c r="C2317" s="9">
        <v>1</v>
      </c>
      <c r="D2317" s="6">
        <v>1.4054813773717499E-4</v>
      </c>
      <c r="E2317" s="7">
        <v>9.8383696416022397E-3</v>
      </c>
    </row>
    <row r="2318" spans="1:5" x14ac:dyDescent="0.3">
      <c r="A2318" t="str">
        <f>HYPERLINK("https://anilist.co/staff/192527","Staff: Minami Ichikawa (Production)")</f>
        <v>Staff: Minami Ichikawa (Production)</v>
      </c>
      <c r="B2318" s="5">
        <v>70</v>
      </c>
      <c r="C2318" s="9">
        <v>1</v>
      </c>
      <c r="D2318" s="6">
        <v>1.4054813773717499E-4</v>
      </c>
      <c r="E2318" s="7">
        <v>9.8383696416022397E-3</v>
      </c>
    </row>
    <row r="2319" spans="1:5" x14ac:dyDescent="0.3">
      <c r="A2319" t="str">
        <f>HYPERLINK("https://anilist.co/staff/154628","Staff: Noritaka Kawaguchi (Production)")</f>
        <v>Staff: Noritaka Kawaguchi (Production)</v>
      </c>
      <c r="B2319" s="5">
        <v>70</v>
      </c>
      <c r="C2319" s="9">
        <v>1</v>
      </c>
      <c r="D2319" s="6">
        <v>1.4054813773717499E-4</v>
      </c>
      <c r="E2319" s="7">
        <v>9.8383696416022397E-3</v>
      </c>
    </row>
    <row r="2320" spans="1:5" x14ac:dyDescent="0.3">
      <c r="A2320" t="str">
        <f>HYPERLINK("https://anilist.co/staff/104450","Staff: Shunsuke Hirota (Key Animation)")</f>
        <v>Staff: Shunsuke Hirota (Key Animation)</v>
      </c>
      <c r="B2320" s="5">
        <v>70</v>
      </c>
      <c r="C2320" s="9">
        <v>1</v>
      </c>
      <c r="D2320" s="6">
        <v>1.4054813773717499E-4</v>
      </c>
      <c r="E2320" s="7">
        <v>9.8383696416022397E-3</v>
      </c>
    </row>
    <row r="2321" spans="1:5" x14ac:dyDescent="0.3">
      <c r="A2321" t="str">
        <f>HYPERLINK("https://anilist.co/staff/192260","Staff: Yoshie Hayashi (Key Animation)")</f>
        <v>Staff: Yoshie Hayashi (Key Animation)</v>
      </c>
      <c r="B2321" s="5">
        <v>70</v>
      </c>
      <c r="C2321" s="9">
        <v>1</v>
      </c>
      <c r="D2321" s="6">
        <v>1.4054813773717499E-4</v>
      </c>
      <c r="E2321" s="7">
        <v>9.8383696416022397E-3</v>
      </c>
    </row>
    <row r="2322" spans="1:5" x14ac:dyDescent="0.3">
      <c r="A2322" t="str">
        <f>HYPERLINK("https://anilist.co/staff/128668","Staff: Haru Yamada (Sound Director)")</f>
        <v>Staff: Haru Yamada (Sound Director)</v>
      </c>
      <c r="B2322" s="5">
        <v>70</v>
      </c>
      <c r="C2322" s="9">
        <v>1</v>
      </c>
      <c r="D2322" s="6">
        <v>1.4054813773717499E-4</v>
      </c>
      <c r="E2322" s="7">
        <v>9.8383696416022397E-3</v>
      </c>
    </row>
    <row r="2323" spans="1:5" x14ac:dyDescent="0.3">
      <c r="A2323" t="str">
        <f>HYPERLINK("https://anilist.co/staff/131001","Staff: Shigeto Tsuji (Key Animation)")</f>
        <v>Staff: Shigeto Tsuji (Key Animation)</v>
      </c>
      <c r="B2323" s="5">
        <v>70</v>
      </c>
      <c r="C2323" s="9">
        <v>1</v>
      </c>
      <c r="D2323" s="6">
        <v>1.4054813773717499E-4</v>
      </c>
      <c r="E2323" s="7">
        <v>9.8383696416022397E-3</v>
      </c>
    </row>
    <row r="2324" spans="1:5" x14ac:dyDescent="0.3">
      <c r="A2324" t="str">
        <f>HYPERLINK("https://anilist.co/staff/149793","Staff: Atsushi Tamura (Character Design)")</f>
        <v>Staff: Atsushi Tamura (Character Design)</v>
      </c>
      <c r="B2324" s="5">
        <v>70</v>
      </c>
      <c r="C2324" s="9">
        <v>1</v>
      </c>
      <c r="D2324" s="6">
        <v>1.4054813773717499E-4</v>
      </c>
      <c r="E2324" s="7">
        <v>9.8383696416022397E-3</v>
      </c>
    </row>
    <row r="2325" spans="1:5" x14ac:dyDescent="0.3">
      <c r="A2325" t="str">
        <f>HYPERLINK("https://anilist.co/staff/119452","Staff: Fuse (Original Story)")</f>
        <v>Staff: Fuse (Original Story)</v>
      </c>
      <c r="B2325" s="5">
        <v>70</v>
      </c>
      <c r="C2325" s="9">
        <v>1</v>
      </c>
      <c r="D2325" s="6">
        <v>1.4054813773717499E-4</v>
      </c>
      <c r="E2325" s="7">
        <v>9.8383696416022397E-3</v>
      </c>
    </row>
    <row r="2326" spans="1:5" x14ac:dyDescent="0.3">
      <c r="A2326" t="str">
        <f>HYPERLINK("https://anilist.co/staff/125101","Staff: Mitz Vah (Original Character Design)")</f>
        <v>Staff: Mitz Vah (Original Character Design)</v>
      </c>
      <c r="B2326" s="5">
        <v>70</v>
      </c>
      <c r="C2326" s="9">
        <v>1</v>
      </c>
      <c r="D2326" s="6">
        <v>1.4054813773717499E-4</v>
      </c>
      <c r="E2326" s="7">
        <v>9.8383696416022397E-3</v>
      </c>
    </row>
    <row r="2327" spans="1:5" x14ac:dyDescent="0.3">
      <c r="A2327" t="str">
        <f>HYPERLINK("https://anilist.co/staff/106444","Staff: Yasuhito Kikuchi (Director)")</f>
        <v>Staff: Yasuhito Kikuchi (Director)</v>
      </c>
      <c r="B2327" s="5">
        <v>70</v>
      </c>
      <c r="C2327" s="9">
        <v>1</v>
      </c>
      <c r="D2327" s="6">
        <v>1.4054813773717499E-4</v>
      </c>
      <c r="E2327" s="7">
        <v>9.8383696416022397E-3</v>
      </c>
    </row>
    <row r="2328" spans="1:5" x14ac:dyDescent="0.3">
      <c r="A2328" t="str">
        <f>HYPERLINK("https://anilist.co/staff/118916","Staff: Ryouma Ebata (Character Design)")</f>
        <v>Staff: Ryouma Ebata (Character Design)</v>
      </c>
      <c r="B2328" s="5">
        <v>70</v>
      </c>
      <c r="C2328" s="9">
        <v>1</v>
      </c>
      <c r="D2328" s="6">
        <v>1.4054813773717499E-4</v>
      </c>
      <c r="E2328" s="7">
        <v>9.8383696416022397E-3</v>
      </c>
    </row>
    <row r="2329" spans="1:5" x14ac:dyDescent="0.3">
      <c r="A2329" t="str">
        <f>HYPERLINK("https://anilist.co/staff/95494","Staff: Takuma Terashima (Theme Song Performance (OP))")</f>
        <v>Staff: Takuma Terashima (Theme Song Performance (OP))</v>
      </c>
      <c r="B2329" s="5">
        <v>70</v>
      </c>
      <c r="C2329" s="9">
        <v>1</v>
      </c>
      <c r="D2329" s="6">
        <v>1.4054813773717499E-4</v>
      </c>
      <c r="E2329" s="7">
        <v>9.8383696416022397E-3</v>
      </c>
    </row>
    <row r="2330" spans="1:5" x14ac:dyDescent="0.3">
      <c r="A2330" t="str">
        <f>HYPERLINK("https://anilist.co/staff/118490","Staff: Miho Karasawa (Theme Song Performance (ED))")</f>
        <v>Staff: Miho Karasawa (Theme Song Performance (ED))</v>
      </c>
      <c r="B2330" s="5">
        <v>70</v>
      </c>
      <c r="C2330" s="9">
        <v>1</v>
      </c>
      <c r="D2330" s="6">
        <v>1.4054813773717499E-4</v>
      </c>
      <c r="E2330" s="7">
        <v>9.8383696416022397E-3</v>
      </c>
    </row>
    <row r="2331" spans="1:5" x14ac:dyDescent="0.3">
      <c r="A2331" t="str">
        <f>HYPERLINK("https://anilist.co/staff/120174","Staff: Atsushi Nakayama (Assistant Director)")</f>
        <v>Staff: Atsushi Nakayama (Assistant Director)</v>
      </c>
      <c r="B2331" s="5">
        <v>70</v>
      </c>
      <c r="C2331" s="9">
        <v>1</v>
      </c>
      <c r="D2331" s="6">
        <v>1.4054813773717499E-4</v>
      </c>
      <c r="E2331" s="7">
        <v>9.8383696416022397E-3</v>
      </c>
    </row>
    <row r="2332" spans="1:5" x14ac:dyDescent="0.3">
      <c r="A2332" t="str">
        <f>HYPERLINK("https://anilist.co/staff/132761","Staff: Hidenori Kosuge (Animation producer)")</f>
        <v>Staff: Hidenori Kosuge (Animation producer)</v>
      </c>
      <c r="B2332" s="5">
        <v>70</v>
      </c>
      <c r="C2332" s="9">
        <v>1</v>
      </c>
      <c r="D2332" s="6">
        <v>1.4054813773717499E-4</v>
      </c>
      <c r="E2332" s="7">
        <v>9.8383696416022397E-3</v>
      </c>
    </row>
    <row r="2333" spans="1:5" x14ac:dyDescent="0.3">
      <c r="A2333" t="str">
        <f>HYPERLINK("https://anilist.co/staff/132762","Staff: Ayumi Satou (Art Director)")</f>
        <v>Staff: Ayumi Satou (Art Director)</v>
      </c>
      <c r="B2333" s="5">
        <v>70</v>
      </c>
      <c r="C2333" s="9">
        <v>1</v>
      </c>
      <c r="D2333" s="6">
        <v>1.4054813773717499E-4</v>
      </c>
      <c r="E2333" s="7">
        <v>9.8383696416022397E-3</v>
      </c>
    </row>
    <row r="2334" spans="1:5" x14ac:dyDescent="0.3">
      <c r="A2334" t="str">
        <f>HYPERLINK("https://anilist.co/staff/118490","Staff: Miho Karasawa (Insert Song Performance (ep 23))")</f>
        <v>Staff: Miho Karasawa (Insert Song Performance (ep 23))</v>
      </c>
      <c r="B2334" s="5">
        <v>70</v>
      </c>
      <c r="C2334" s="9">
        <v>1</v>
      </c>
      <c r="D2334" s="6">
        <v>1.4054813773717499E-4</v>
      </c>
      <c r="E2334" s="7">
        <v>9.8383696416022397E-3</v>
      </c>
    </row>
    <row r="2335" spans="1:5" x14ac:dyDescent="0.3">
      <c r="A2335" t="str">
        <f>HYPERLINK("https://anilist.co/staff/118490","Staff: Miho Karasawa (Insert Song Lyrics (ep 23))")</f>
        <v>Staff: Miho Karasawa (Insert Song Lyrics (ep 23))</v>
      </c>
      <c r="B2335" s="5">
        <v>70</v>
      </c>
      <c r="C2335" s="9">
        <v>1</v>
      </c>
      <c r="D2335" s="6">
        <v>1.4054813773717499E-4</v>
      </c>
      <c r="E2335" s="7">
        <v>9.8383696416022397E-3</v>
      </c>
    </row>
    <row r="2336" spans="1:5" x14ac:dyDescent="0.3">
      <c r="A2336" t="str">
        <f>HYPERLINK("https://anilist.co/staff/118490","Staff: Miho Karasawa (Theme Song Lyrics (ED1))")</f>
        <v>Staff: Miho Karasawa (Theme Song Lyrics (ED1))</v>
      </c>
      <c r="B2336" s="5">
        <v>70</v>
      </c>
      <c r="C2336" s="9">
        <v>1</v>
      </c>
      <c r="D2336" s="6">
        <v>1.4054813773717499E-4</v>
      </c>
      <c r="E2336" s="7">
        <v>9.8383696416022397E-3</v>
      </c>
    </row>
    <row r="2337" spans="1:5" x14ac:dyDescent="0.3">
      <c r="A2337" t="str">
        <f>HYPERLINK("https://anilist.co/staff/113181","Staff: Taiki Kawakami (Original Story)")</f>
        <v>Staff: Taiki Kawakami (Original Story)</v>
      </c>
      <c r="B2337" s="5">
        <v>70</v>
      </c>
      <c r="C2337" s="9">
        <v>1</v>
      </c>
      <c r="D2337" s="6">
        <v>1.4054813773717499E-4</v>
      </c>
      <c r="E2337" s="7">
        <v>9.8383696416022397E-3</v>
      </c>
    </row>
    <row r="2338" spans="1:5" x14ac:dyDescent="0.3">
      <c r="A2338" t="str">
        <f>HYPERLINK("https://anilist.co/staff/112297","Staff: Azusa Tadokoro (Theme Song Performance (ED))")</f>
        <v>Staff: Azusa Tadokoro (Theme Song Performance (ED))</v>
      </c>
      <c r="B2338" s="5">
        <v>70</v>
      </c>
      <c r="C2338" s="9">
        <v>1</v>
      </c>
      <c r="D2338" s="6">
        <v>1.4054813773717499E-4</v>
      </c>
      <c r="E2338" s="7">
        <v>9.8383696416022397E-3</v>
      </c>
    </row>
    <row r="2339" spans="1:5" x14ac:dyDescent="0.3">
      <c r="A2339" t="str">
        <f>HYPERLINK("https://anilist.co/staff/109605","Staff: Elements Garden  (Music)")</f>
        <v>Staff: Elements Garden  (Music)</v>
      </c>
      <c r="B2339" s="5">
        <v>70</v>
      </c>
      <c r="C2339" s="9">
        <v>1</v>
      </c>
      <c r="D2339" s="6">
        <v>1.4054813773717499E-4</v>
      </c>
      <c r="E2339" s="7">
        <v>9.8383696416022397E-3</v>
      </c>
    </row>
    <row r="2340" spans="1:5" x14ac:dyDescent="0.3">
      <c r="A2340" t="str">
        <f>HYPERLINK("https://anilist.co/staff/189479","Staff: Roberto Gutiérrez (ADR Director (Latin American Spanish))")</f>
        <v>Staff: Roberto Gutiérrez (ADR Director (Latin American Spanish))</v>
      </c>
      <c r="B2340" s="5">
        <v>70</v>
      </c>
      <c r="C2340" s="9">
        <v>1</v>
      </c>
      <c r="D2340" s="6">
        <v>1.4054813773717499E-4</v>
      </c>
      <c r="E2340" s="7">
        <v>9.8383696416022397E-3</v>
      </c>
    </row>
    <row r="2341" spans="1:5" x14ac:dyDescent="0.3">
      <c r="A2341" t="str">
        <f>HYPERLINK("https://anilist.co/staff/119609","Staff: Clifford Chapin (ADR Director (English))")</f>
        <v>Staff: Clifford Chapin (ADR Director (English))</v>
      </c>
      <c r="B2341" s="5">
        <v>70</v>
      </c>
      <c r="C2341" s="9">
        <v>1</v>
      </c>
      <c r="D2341" s="6">
        <v>1.4054813773717499E-4</v>
      </c>
      <c r="E2341" s="7">
        <v>9.8383696416022397E-3</v>
      </c>
    </row>
    <row r="2342" spans="1:5" x14ac:dyDescent="0.3">
      <c r="A2342" t="str">
        <f>HYPERLINK("https://anilist.co/staff/206621","Staff: Austin Sisk (ADR Engineer (English))")</f>
        <v>Staff: Austin Sisk (ADR Engineer (English))</v>
      </c>
      <c r="B2342" s="5">
        <v>70</v>
      </c>
      <c r="C2342" s="9">
        <v>1</v>
      </c>
      <c r="D2342" s="6">
        <v>1.4054813773717499E-4</v>
      </c>
      <c r="E2342" s="7">
        <v>9.8383696416022397E-3</v>
      </c>
    </row>
    <row r="2343" spans="1:5" x14ac:dyDescent="0.3">
      <c r="A2343" t="str">
        <f>HYPERLINK("https://anilist.co/staff/141440","Staff: Adrian Cook (Mix Engineer (English))")</f>
        <v>Staff: Adrian Cook (Mix Engineer (English))</v>
      </c>
      <c r="B2343" s="5">
        <v>70</v>
      </c>
      <c r="C2343" s="9">
        <v>1</v>
      </c>
      <c r="D2343" s="6">
        <v>1.4054813773717499E-4</v>
      </c>
      <c r="E2343" s="7">
        <v>9.8383696416022397E-3</v>
      </c>
    </row>
    <row r="2344" spans="1:5" x14ac:dyDescent="0.3">
      <c r="A2344" t="str">
        <f>HYPERLINK("https://anilist.co/staff/146760","Staff: Peter Hawkinson (ADR Engineer (English))")</f>
        <v>Staff: Peter Hawkinson (ADR Engineer (English))</v>
      </c>
      <c r="B2344" s="5">
        <v>70</v>
      </c>
      <c r="C2344" s="9">
        <v>1</v>
      </c>
      <c r="D2344" s="6">
        <v>1.4054813773717499E-4</v>
      </c>
      <c r="E2344" s="7">
        <v>9.8383696416022397E-3</v>
      </c>
    </row>
    <row r="2345" spans="1:5" x14ac:dyDescent="0.3">
      <c r="A2345" t="str">
        <f>HYPERLINK("https://anilist.co/staff/127740","Staff: Brittany Lauda (Assistant ADR Director (English; eps 6-11))")</f>
        <v>Staff: Brittany Lauda (Assistant ADR Director (English; eps 6-11))</v>
      </c>
      <c r="B2345" s="5">
        <v>70</v>
      </c>
      <c r="C2345" s="9">
        <v>1</v>
      </c>
      <c r="D2345" s="6">
        <v>1.4054813773717499E-4</v>
      </c>
      <c r="E2345" s="7">
        <v>9.8383696416022397E-3</v>
      </c>
    </row>
    <row r="2346" spans="1:5" x14ac:dyDescent="0.3">
      <c r="A2346" t="str">
        <f>HYPERLINK("https://anilist.co/staff/137072","Staff: BRATS (Theme Song Performance (OP))")</f>
        <v>Staff: BRATS (Theme Song Performance (OP))</v>
      </c>
      <c r="B2346" s="5">
        <v>70</v>
      </c>
      <c r="C2346" s="9">
        <v>1</v>
      </c>
      <c r="D2346" s="6">
        <v>1.4054813773717499E-4</v>
      </c>
      <c r="E2346" s="7">
        <v>9.8383696416022397E-3</v>
      </c>
    </row>
    <row r="2347" spans="1:5" x14ac:dyDescent="0.3">
      <c r="A2347" t="str">
        <f>HYPERLINK("https://anilist.co/staff/127382","Staff: Haoling Li (Director)")</f>
        <v>Staff: Haoling Li (Director)</v>
      </c>
      <c r="B2347" s="5">
        <v>70</v>
      </c>
      <c r="C2347" s="9">
        <v>1</v>
      </c>
      <c r="D2347" s="6">
        <v>1.4054813773717499E-4</v>
      </c>
      <c r="E2347" s="7">
        <v>9.8383696416022397E-3</v>
      </c>
    </row>
    <row r="2348" spans="1:5" x14ac:dyDescent="0.3">
      <c r="A2348" t="str">
        <f>HYPERLINK("https://anilist.co/staff/127382","Staff: Haoling Li (Series Composition)")</f>
        <v>Staff: Haoling Li (Series Composition)</v>
      </c>
      <c r="B2348" s="5">
        <v>70</v>
      </c>
      <c r="C2348" s="9">
        <v>1</v>
      </c>
      <c r="D2348" s="6">
        <v>1.4054813773717499E-4</v>
      </c>
      <c r="E2348" s="7">
        <v>9.8383696416022397E-3</v>
      </c>
    </row>
    <row r="2349" spans="1:5" x14ac:dyDescent="0.3">
      <c r="A2349" t="str">
        <f>HYPERLINK("https://anilist.co/staff/218268","Staff: LAN (Character Design)")</f>
        <v>Staff: LAN (Character Design)</v>
      </c>
      <c r="B2349" s="5">
        <v>70</v>
      </c>
      <c r="C2349" s="9">
        <v>1</v>
      </c>
      <c r="D2349" s="6">
        <v>1.4054813773717499E-4</v>
      </c>
      <c r="E2349" s="7">
        <v>9.8383696416022397E-3</v>
      </c>
    </row>
    <row r="2350" spans="1:5" x14ac:dyDescent="0.3">
      <c r="A2350" t="str">
        <f>HYPERLINK("https://anilist.co/staff/218268","Staff: LAN (Color Design)")</f>
        <v>Staff: LAN (Color Design)</v>
      </c>
      <c r="B2350" s="5">
        <v>70</v>
      </c>
      <c r="C2350" s="9">
        <v>1</v>
      </c>
      <c r="D2350" s="6">
        <v>1.4054813773717499E-4</v>
      </c>
      <c r="E2350" s="7">
        <v>9.8383696416022397E-3</v>
      </c>
    </row>
    <row r="2351" spans="1:5" x14ac:dyDescent="0.3">
      <c r="A2351" t="str">
        <f>HYPERLINK("https://anilist.co/staff/127382","Staff: Haoling Li (Storyboard)")</f>
        <v>Staff: Haoling Li (Storyboard)</v>
      </c>
      <c r="B2351" s="5">
        <v>70</v>
      </c>
      <c r="C2351" s="9">
        <v>1</v>
      </c>
      <c r="D2351" s="6">
        <v>1.4054813773717499E-4</v>
      </c>
      <c r="E2351" s="7">
        <v>9.8383696416022397E-3</v>
      </c>
    </row>
    <row r="2352" spans="1:5" x14ac:dyDescent="0.3">
      <c r="A2352" t="str">
        <f>HYPERLINK("https://anilist.co/staff/218268","Staff: LAN (Chief Animation Director)")</f>
        <v>Staff: LAN (Chief Animation Director)</v>
      </c>
      <c r="B2352" s="5">
        <v>70</v>
      </c>
      <c r="C2352" s="9">
        <v>1</v>
      </c>
      <c r="D2352" s="6">
        <v>1.4054813773717499E-4</v>
      </c>
      <c r="E2352" s="7">
        <v>9.8383696416022397E-3</v>
      </c>
    </row>
    <row r="2353" spans="1:5" x14ac:dyDescent="0.3">
      <c r="A2353" t="str">
        <f>HYPERLINK("https://anilist.co/staff/127382","Staff: Haoling Li (Script)")</f>
        <v>Staff: Haoling Li (Script)</v>
      </c>
      <c r="B2353" s="5">
        <v>70</v>
      </c>
      <c r="C2353" s="9">
        <v>1</v>
      </c>
      <c r="D2353" s="6">
        <v>1.4054813773717499E-4</v>
      </c>
      <c r="E2353" s="7">
        <v>9.8383696416022397E-3</v>
      </c>
    </row>
    <row r="2354" spans="1:5" x14ac:dyDescent="0.3">
      <c r="A2354" t="str">
        <f>HYPERLINK("https://anilist.co/staff/127382","Staff: Haoling Li (Original Creator)")</f>
        <v>Staff: Haoling Li (Original Creator)</v>
      </c>
      <c r="B2354" s="5">
        <v>70</v>
      </c>
      <c r="C2354" s="9">
        <v>1</v>
      </c>
      <c r="D2354" s="6">
        <v>1.4054813773717499E-4</v>
      </c>
      <c r="E2354" s="7">
        <v>9.8383696416022397E-3</v>
      </c>
    </row>
    <row r="2355" spans="1:5" x14ac:dyDescent="0.3">
      <c r="A2355" t="str">
        <f>HYPERLINK("https://anilist.co/staff/218268","Staff: LAN (Art Design)")</f>
        <v>Staff: LAN (Art Design)</v>
      </c>
      <c r="B2355" s="5">
        <v>70</v>
      </c>
      <c r="C2355" s="9">
        <v>1</v>
      </c>
      <c r="D2355" s="6">
        <v>1.4054813773717499E-4</v>
      </c>
      <c r="E2355" s="7">
        <v>9.8383696416022397E-3</v>
      </c>
    </row>
    <row r="2356" spans="1:5" x14ac:dyDescent="0.3">
      <c r="A2356" t="str">
        <f>HYPERLINK("https://anilist.co/staff/110753","Staff: Sui Ishida (Original Creator)")</f>
        <v>Staff: Sui Ishida (Original Creator)</v>
      </c>
      <c r="B2356" s="5">
        <v>70</v>
      </c>
      <c r="C2356" s="9">
        <v>1</v>
      </c>
      <c r="D2356" s="6">
        <v>1.4054813773717499E-4</v>
      </c>
      <c r="E2356" s="7">
        <v>9.8383696416022397E-3</v>
      </c>
    </row>
    <row r="2357" spans="1:5" x14ac:dyDescent="0.3">
      <c r="A2357" t="str">
        <f>HYPERLINK("https://anilist.co/staff/101564","Staff: Shuuhei Morita (Director)")</f>
        <v>Staff: Shuuhei Morita (Director)</v>
      </c>
      <c r="B2357" s="5">
        <v>70</v>
      </c>
      <c r="C2357" s="9">
        <v>1</v>
      </c>
      <c r="D2357" s="6">
        <v>1.4054813773717499E-4</v>
      </c>
      <c r="E2357" s="7">
        <v>9.8383696416022397E-3</v>
      </c>
    </row>
    <row r="2358" spans="1:5" x14ac:dyDescent="0.3">
      <c r="A2358" t="str">
        <f>HYPERLINK("https://anilist.co/staff/119414","Staff: Yutaka Yamada (Music)")</f>
        <v>Staff: Yutaka Yamada (Music)</v>
      </c>
      <c r="B2358" s="5">
        <v>70</v>
      </c>
      <c r="C2358" s="9">
        <v>1</v>
      </c>
      <c r="D2358" s="6">
        <v>1.4054813773717499E-4</v>
      </c>
      <c r="E2358" s="7">
        <v>9.8383696416022397E-3</v>
      </c>
    </row>
    <row r="2359" spans="1:5" x14ac:dyDescent="0.3">
      <c r="A2359" t="str">
        <f>HYPERLINK("https://anilist.co/staff/120249","Staff: Tooru Kitajima (Theme Song Performance (OP))")</f>
        <v>Staff: Tooru Kitajima (Theme Song Performance (OP))</v>
      </c>
      <c r="B2359" s="5">
        <v>70</v>
      </c>
      <c r="C2359" s="9">
        <v>1</v>
      </c>
      <c r="D2359" s="6">
        <v>1.4054813773717499E-4</v>
      </c>
      <c r="E2359" s="7">
        <v>9.8383696416022397E-3</v>
      </c>
    </row>
    <row r="2360" spans="1:5" x14ac:dyDescent="0.3">
      <c r="A2360" t="str">
        <f>HYPERLINK("https://anilist.co/staff/122440","Staff: Yoshiaki Kyougoku (Storyboard (eps 5, 9))")</f>
        <v>Staff: Yoshiaki Kyougoku (Storyboard (eps 5, 9))</v>
      </c>
      <c r="B2360" s="5">
        <v>70</v>
      </c>
      <c r="C2360" s="9">
        <v>1</v>
      </c>
      <c r="D2360" s="6">
        <v>1.4054813773717499E-4</v>
      </c>
      <c r="E2360" s="7">
        <v>9.8383696416022397E-3</v>
      </c>
    </row>
    <row r="2361" spans="1:5" x14ac:dyDescent="0.3">
      <c r="A2361" t="str">
        <f>HYPERLINK("https://anilist.co/staff/122440","Staff: Yoshiaki Kyougoku (Episode Director (eps 5, 9))")</f>
        <v>Staff: Yoshiaki Kyougoku (Episode Director (eps 5, 9))</v>
      </c>
      <c r="B2361" s="5">
        <v>70</v>
      </c>
      <c r="C2361" s="9">
        <v>1</v>
      </c>
      <c r="D2361" s="6">
        <v>1.4054813773717499E-4</v>
      </c>
      <c r="E2361" s="7">
        <v>9.8383696416022397E-3</v>
      </c>
    </row>
    <row r="2362" spans="1:5" x14ac:dyDescent="0.3">
      <c r="A2362" t="str">
        <f>HYPERLINK("https://anilist.co/staff/121205","Staff: Kazuhiro Miwa (Character Design)")</f>
        <v>Staff: Kazuhiro Miwa (Character Design)</v>
      </c>
      <c r="B2362" s="5">
        <v>70</v>
      </c>
      <c r="C2362" s="9">
        <v>1</v>
      </c>
      <c r="D2362" s="6">
        <v>1.4054813773717499E-4</v>
      </c>
      <c r="E2362" s="7">
        <v>9.8383696416022397E-3</v>
      </c>
    </row>
    <row r="2363" spans="1:5" x14ac:dyDescent="0.3">
      <c r="A2363" t="str">
        <f>HYPERLINK("https://anilist.co/staff/121205","Staff: Kazuhiro Miwa (Animation Director (OP, ep 1))")</f>
        <v>Staff: Kazuhiro Miwa (Animation Director (OP, ep 1))</v>
      </c>
      <c r="B2363" s="5">
        <v>70</v>
      </c>
      <c r="C2363" s="9">
        <v>1</v>
      </c>
      <c r="D2363" s="6">
        <v>1.4054813773717499E-4</v>
      </c>
      <c r="E2363" s="7">
        <v>9.8383696416022397E-3</v>
      </c>
    </row>
    <row r="2364" spans="1:5" x14ac:dyDescent="0.3">
      <c r="A2364" t="str">
        <f>HYPERLINK("https://anilist.co/staff/121205","Staff: Kazuhiro Miwa (Key Animation (ep 1))")</f>
        <v>Staff: Kazuhiro Miwa (Key Animation (ep 1))</v>
      </c>
      <c r="B2364" s="5">
        <v>70</v>
      </c>
      <c r="C2364" s="9">
        <v>1</v>
      </c>
      <c r="D2364" s="6">
        <v>1.4054813773717499E-4</v>
      </c>
      <c r="E2364" s="7">
        <v>9.8383696416022397E-3</v>
      </c>
    </row>
    <row r="2365" spans="1:5" x14ac:dyDescent="0.3">
      <c r="A2365" t="str">
        <f>HYPERLINK("https://anilist.co/staff/124075","Staff: Chuuji Mikasano (Series Composition)")</f>
        <v>Staff: Chuuji Mikasano (Series Composition)</v>
      </c>
      <c r="B2365" s="5">
        <v>70</v>
      </c>
      <c r="C2365" s="9">
        <v>1</v>
      </c>
      <c r="D2365" s="6">
        <v>1.4054813773717499E-4</v>
      </c>
      <c r="E2365" s="7">
        <v>9.8383696416022397E-3</v>
      </c>
    </row>
    <row r="2366" spans="1:5" x14ac:dyDescent="0.3">
      <c r="A2366" t="str">
        <f>HYPERLINK("https://anilist.co/staff/95254","Staff: Aaron Dismuke (Script (English))")</f>
        <v>Staff: Aaron Dismuke (Script (English))</v>
      </c>
      <c r="B2366" s="5">
        <v>70</v>
      </c>
      <c r="C2366" s="9">
        <v>1</v>
      </c>
      <c r="D2366" s="6">
        <v>1.4054813773717499E-4</v>
      </c>
      <c r="E2366" s="7">
        <v>9.8383696416022397E-3</v>
      </c>
    </row>
    <row r="2367" spans="1:5" x14ac:dyDescent="0.3">
      <c r="A2367" t="str">
        <f>HYPERLINK("https://anilist.co/staff/96047","Staff: Josh Grelle (Script (English))")</f>
        <v>Staff: Josh Grelle (Script (English))</v>
      </c>
      <c r="B2367" s="5">
        <v>70</v>
      </c>
      <c r="C2367" s="9">
        <v>1</v>
      </c>
      <c r="D2367" s="6">
        <v>1.4054813773717499E-4</v>
      </c>
      <c r="E2367" s="7">
        <v>9.8383696416022397E-3</v>
      </c>
    </row>
    <row r="2368" spans="1:5" x14ac:dyDescent="0.3">
      <c r="A2368" t="str">
        <f>HYPERLINK("https://anilist.co/staff/95159","Staff: Monica Rial (Script (English))")</f>
        <v>Staff: Monica Rial (Script (English))</v>
      </c>
      <c r="B2368" s="5">
        <v>70</v>
      </c>
      <c r="C2368" s="9">
        <v>1</v>
      </c>
      <c r="D2368" s="6">
        <v>1.4054813773717499E-4</v>
      </c>
      <c r="E2368" s="7">
        <v>9.8383696416022397E-3</v>
      </c>
    </row>
    <row r="2369" spans="1:5" x14ac:dyDescent="0.3">
      <c r="A2369" t="str">
        <f>HYPERLINK("https://anilist.co/staff/156787","Staff: People in the Box  (Theme Song Performance (ED))")</f>
        <v>Staff: People in the Box  (Theme Song Performance (ED))</v>
      </c>
      <c r="B2369" s="5">
        <v>70</v>
      </c>
      <c r="C2369" s="9">
        <v>1</v>
      </c>
      <c r="D2369" s="6">
        <v>1.4054813773717499E-4</v>
      </c>
      <c r="E2369" s="7">
        <v>9.8383696416022397E-3</v>
      </c>
    </row>
    <row r="2370" spans="1:5" x14ac:dyDescent="0.3">
      <c r="A2370" t="str">
        <f>HYPERLINK("https://anilist.co/staff/142093","Staff: Yoshihiro Sono (Set Design)")</f>
        <v>Staff: Yoshihiro Sono (Set Design)</v>
      </c>
      <c r="B2370" s="5">
        <v>70</v>
      </c>
      <c r="C2370" s="9">
        <v>1</v>
      </c>
      <c r="D2370" s="6">
        <v>1.4054813773717499E-4</v>
      </c>
      <c r="E2370" s="7">
        <v>9.8383696416022397E-3</v>
      </c>
    </row>
    <row r="2371" spans="1:5" x14ac:dyDescent="0.3">
      <c r="A2371" t="str">
        <f>HYPERLINK("https://anilist.co/staff/150520","Staff: Ryota-H (Art Design)")</f>
        <v>Staff: Ryota-H (Art Design)</v>
      </c>
      <c r="B2371" s="5">
        <v>70</v>
      </c>
      <c r="C2371" s="9">
        <v>1</v>
      </c>
      <c r="D2371" s="6">
        <v>1.4054813773717499E-4</v>
      </c>
      <c r="E2371" s="7">
        <v>9.8383696416022397E-3</v>
      </c>
    </row>
    <row r="2372" spans="1:5" x14ac:dyDescent="0.3">
      <c r="A2372" t="str">
        <f>HYPERLINK("https://anilist.co/staff/142093","Staff: Yoshihiro Sono (Art Design)")</f>
        <v>Staff: Yoshihiro Sono (Art Design)</v>
      </c>
      <c r="B2372" s="5">
        <v>70</v>
      </c>
      <c r="C2372" s="9">
        <v>1</v>
      </c>
      <c r="D2372" s="6">
        <v>1.4054813773717499E-4</v>
      </c>
      <c r="E2372" s="7">
        <v>9.8383696416022397E-3</v>
      </c>
    </row>
    <row r="2373" spans="1:5" x14ac:dyDescent="0.3">
      <c r="A2373" t="str">
        <f>HYPERLINK("https://anilist.co/staff/150520","Staff: Ryota-H (Set Design)")</f>
        <v>Staff: Ryota-H (Set Design)</v>
      </c>
      <c r="B2373" s="5">
        <v>70</v>
      </c>
      <c r="C2373" s="9">
        <v>1</v>
      </c>
      <c r="D2373" s="6">
        <v>1.4054813773717499E-4</v>
      </c>
      <c r="E2373" s="7">
        <v>9.8383696416022397E-3</v>
      </c>
    </row>
    <row r="2374" spans="1:5" x14ac:dyDescent="0.3">
      <c r="A2374" t="str">
        <f>HYPERLINK("https://anilist.co/staff/152187","Staff: Narihito Sekikawa (Prop Design)")</f>
        <v>Staff: Narihito Sekikawa (Prop Design)</v>
      </c>
      <c r="B2374" s="5">
        <v>70</v>
      </c>
      <c r="C2374" s="9">
        <v>1</v>
      </c>
      <c r="D2374" s="6">
        <v>1.4054813773717499E-4</v>
      </c>
      <c r="E2374" s="7">
        <v>9.8383696416022397E-3</v>
      </c>
    </row>
    <row r="2375" spans="1:5" x14ac:dyDescent="0.3">
      <c r="A2375" t="str">
        <f>HYPERLINK("https://anilist.co/staff/128837","Staff: Katsuya Yamada (Set Design)")</f>
        <v>Staff: Katsuya Yamada (Set Design)</v>
      </c>
      <c r="B2375" s="5">
        <v>70</v>
      </c>
      <c r="C2375" s="9">
        <v>1</v>
      </c>
      <c r="D2375" s="6">
        <v>1.4054813773717499E-4</v>
      </c>
      <c r="E2375" s="7">
        <v>9.8383696416022397E-3</v>
      </c>
    </row>
    <row r="2376" spans="1:5" x14ac:dyDescent="0.3">
      <c r="A2376" t="str">
        <f>HYPERLINK("https://anilist.co/staff/120033","Staff: Masatoshi Mutou (Art Director)")</f>
        <v>Staff: Masatoshi Mutou (Art Director)</v>
      </c>
      <c r="B2376" s="5">
        <v>70</v>
      </c>
      <c r="C2376" s="9">
        <v>1</v>
      </c>
      <c r="D2376" s="6">
        <v>1.4054813773717499E-4</v>
      </c>
      <c r="E2376" s="7">
        <v>9.8383696416022397E-3</v>
      </c>
    </row>
    <row r="2377" spans="1:5" x14ac:dyDescent="0.3">
      <c r="A2377" t="str">
        <f>HYPERLINK("https://anilist.co/staff/128837","Staff: Katsuya Yamada (Art Design)")</f>
        <v>Staff: Katsuya Yamada (Art Design)</v>
      </c>
      <c r="B2377" s="5">
        <v>70</v>
      </c>
      <c r="C2377" s="9">
        <v>1</v>
      </c>
      <c r="D2377" s="6">
        <v>1.4054813773717499E-4</v>
      </c>
      <c r="E2377" s="7">
        <v>9.8383696416022397E-3</v>
      </c>
    </row>
    <row r="2378" spans="1:5" x14ac:dyDescent="0.3">
      <c r="A2378" t="str">
        <f>HYPERLINK("https://anilist.co/staff/142606","Staff: Noboru Haraguchi (Sound Director)")</f>
        <v>Staff: Noboru Haraguchi (Sound Director)</v>
      </c>
      <c r="B2378" s="5">
        <v>70</v>
      </c>
      <c r="C2378" s="9">
        <v>1</v>
      </c>
      <c r="D2378" s="6">
        <v>1.4054813773717499E-4</v>
      </c>
      <c r="E2378" s="7">
        <v>9.8383696416022397E-3</v>
      </c>
    </row>
    <row r="2379" spans="1:5" x14ac:dyDescent="0.3">
      <c r="A2379" t="str">
        <f>HYPERLINK("https://anilist.co/staff/119353","Staff: Toshiya Wakabayashi (Original Creator)")</f>
        <v>Staff: Toshiya Wakabayashi (Original Creator)</v>
      </c>
      <c r="B2379" s="5">
        <v>70</v>
      </c>
      <c r="C2379" s="9">
        <v>1</v>
      </c>
      <c r="D2379" s="6">
        <v>1.4054813773717499E-4</v>
      </c>
      <c r="E2379" s="7">
        <v>9.8383696416022397E-3</v>
      </c>
    </row>
    <row r="2380" spans="1:5" x14ac:dyDescent="0.3">
      <c r="A2380" t="str">
        <f>HYPERLINK("https://anilist.co/staff/107537","Staff: Hiraku Kaneko (Director)")</f>
        <v>Staff: Hiraku Kaneko (Director)</v>
      </c>
      <c r="B2380" s="5">
        <v>70</v>
      </c>
      <c r="C2380" s="9">
        <v>1</v>
      </c>
      <c r="D2380" s="6">
        <v>1.4054813773717499E-4</v>
      </c>
      <c r="E2380" s="7">
        <v>9.8383696416022397E-3</v>
      </c>
    </row>
    <row r="2381" spans="1:5" x14ac:dyDescent="0.3">
      <c r="A2381" t="str">
        <f>HYPERLINK("https://anilist.co/staff/102191","Staff: Tatsuhiko Urahata (Series Composition)")</f>
        <v>Staff: Tatsuhiko Urahata (Series Composition)</v>
      </c>
      <c r="B2381" s="5">
        <v>70</v>
      </c>
      <c r="C2381" s="9">
        <v>1</v>
      </c>
      <c r="D2381" s="6">
        <v>1.4054813773717499E-4</v>
      </c>
      <c r="E2381" s="7">
        <v>9.8383696416022397E-3</v>
      </c>
    </row>
    <row r="2382" spans="1:5" x14ac:dyDescent="0.3">
      <c r="A2382" t="str">
        <f>HYPERLINK("https://anilist.co/staff/106297","Staff: Inori Minase (Theme Song Performance (OP))")</f>
        <v>Staff: Inori Minase (Theme Song Performance (OP))</v>
      </c>
      <c r="B2382" s="5">
        <v>70</v>
      </c>
      <c r="C2382" s="9">
        <v>1</v>
      </c>
      <c r="D2382" s="6">
        <v>1.4054813773717499E-4</v>
      </c>
      <c r="E2382" s="7">
        <v>9.8383696416022397E-3</v>
      </c>
    </row>
    <row r="2383" spans="1:5" x14ac:dyDescent="0.3">
      <c r="A2383" t="str">
        <f>HYPERLINK("https://anilist.co/staff/105981","Staff: Yui Ogura (Theme Song Performance (ED))")</f>
        <v>Staff: Yui Ogura (Theme Song Performance (ED))</v>
      </c>
      <c r="B2383" s="5">
        <v>70</v>
      </c>
      <c r="C2383" s="9">
        <v>1</v>
      </c>
      <c r="D2383" s="6">
        <v>1.4054813773717499E-4</v>
      </c>
      <c r="E2383" s="7">
        <v>9.8383696416022397E-3</v>
      </c>
    </row>
    <row r="2384" spans="1:5" x14ac:dyDescent="0.3">
      <c r="A2384" t="str">
        <f>HYPERLINK("https://anilist.co/staff/121676","Staff: Etsuko Sumimoto (Character Design)")</f>
        <v>Staff: Etsuko Sumimoto (Character Design)</v>
      </c>
      <c r="B2384" s="5">
        <v>70</v>
      </c>
      <c r="C2384" s="9">
        <v>1</v>
      </c>
      <c r="D2384" s="6">
        <v>1.4054813773717499E-4</v>
      </c>
      <c r="E2384" s="7">
        <v>9.8383696416022397E-3</v>
      </c>
    </row>
    <row r="2385" spans="1:5" x14ac:dyDescent="0.3">
      <c r="A2385" t="str">
        <f>HYPERLINK("https://anilist.co/staff/100065","Staff: Tenmon  (Music)")</f>
        <v>Staff: Tenmon  (Music)</v>
      </c>
      <c r="B2385" s="5">
        <v>70</v>
      </c>
      <c r="C2385" s="9">
        <v>1</v>
      </c>
      <c r="D2385" s="6">
        <v>1.4054813773717499E-4</v>
      </c>
      <c r="E2385" s="7">
        <v>9.8383696416022397E-3</v>
      </c>
    </row>
    <row r="2386" spans="1:5" x14ac:dyDescent="0.3">
      <c r="A2386" t="str">
        <f>HYPERLINK("https://anilist.co/staff/121676","Staff: Etsuko Sumimoto (Chief Animation Director)")</f>
        <v>Staff: Etsuko Sumimoto (Chief Animation Director)</v>
      </c>
      <c r="B2386" s="5">
        <v>70</v>
      </c>
      <c r="C2386" s="9">
        <v>1</v>
      </c>
      <c r="D2386" s="6">
        <v>1.4054813773717499E-4</v>
      </c>
      <c r="E2386" s="7">
        <v>9.8383696416022397E-3</v>
      </c>
    </row>
    <row r="2387" spans="1:5" x14ac:dyDescent="0.3">
      <c r="A2387" t="str">
        <f>HYPERLINK("https://anilist.co/staff/121911","Staff: Akinori Fudesaka (Assistant Director)")</f>
        <v>Staff: Akinori Fudesaka (Assistant Director)</v>
      </c>
      <c r="B2387" s="5">
        <v>70</v>
      </c>
      <c r="C2387" s="9">
        <v>1</v>
      </c>
      <c r="D2387" s="6">
        <v>1.4054813773717499E-4</v>
      </c>
      <c r="E2387" s="7">
        <v>9.8383696416022397E-3</v>
      </c>
    </row>
    <row r="2388" spans="1:5" x14ac:dyDescent="0.3">
      <c r="A2388" t="str">
        <f>HYPERLINK("https://anilist.co/staff/115881","Staff: Masaru Satou (Background Art)")</f>
        <v>Staff: Masaru Satou (Background Art)</v>
      </c>
      <c r="B2388" s="5">
        <v>70</v>
      </c>
      <c r="C2388" s="9">
        <v>1</v>
      </c>
      <c r="D2388" s="6">
        <v>1.4054813773717499E-4</v>
      </c>
      <c r="E2388" s="7">
        <v>9.8383696416022397E-3</v>
      </c>
    </row>
    <row r="2389" spans="1:5" x14ac:dyDescent="0.3">
      <c r="A2389" t="str">
        <f>HYPERLINK("https://anilist.co/staff/135557","Staff: Tatsuya  Ishiguro (Producer)")</f>
        <v>Staff: Tatsuya  Ishiguro (Producer)</v>
      </c>
      <c r="B2389" s="5">
        <v>70</v>
      </c>
      <c r="C2389" s="9">
        <v>1</v>
      </c>
      <c r="D2389" s="6">
        <v>1.4054813773717499E-4</v>
      </c>
      <c r="E2389" s="7">
        <v>9.8383696416022397E-3</v>
      </c>
    </row>
    <row r="2390" spans="1:5" x14ac:dyDescent="0.3">
      <c r="A2390" t="str">
        <f>HYPERLINK("https://anilist.co/staff/148534","Staff: Kazuhiro Asao (Planning)")</f>
        <v>Staff: Kazuhiro Asao (Planning)</v>
      </c>
      <c r="B2390" s="5">
        <v>70</v>
      </c>
      <c r="C2390" s="9">
        <v>1</v>
      </c>
      <c r="D2390" s="6">
        <v>1.4054813773717499E-4</v>
      </c>
      <c r="E2390" s="7">
        <v>9.8383696416022397E-3</v>
      </c>
    </row>
    <row r="2391" spans="1:5" x14ac:dyDescent="0.3">
      <c r="A2391" t="str">
        <f>HYPERLINK("https://anilist.co/staff/147744","Staff: Kensuke Tateishi (Planning)")</f>
        <v>Staff: Kensuke Tateishi (Planning)</v>
      </c>
      <c r="B2391" s="5">
        <v>70</v>
      </c>
      <c r="C2391" s="9">
        <v>1</v>
      </c>
      <c r="D2391" s="6">
        <v>1.4054813773717499E-4</v>
      </c>
      <c r="E2391" s="7">
        <v>9.8383696416022397E-3</v>
      </c>
    </row>
    <row r="2392" spans="1:5" x14ac:dyDescent="0.3">
      <c r="A2392" t="str">
        <f>HYPERLINK("https://anilist.co/staff/155698","Staff: Eri Suzuki (Color Design)")</f>
        <v>Staff: Eri Suzuki (Color Design)</v>
      </c>
      <c r="B2392" s="5">
        <v>70</v>
      </c>
      <c r="C2392" s="9">
        <v>1</v>
      </c>
      <c r="D2392" s="6">
        <v>1.4054813773717499E-4</v>
      </c>
      <c r="E2392" s="7">
        <v>9.8383696416022397E-3</v>
      </c>
    </row>
    <row r="2393" spans="1:5" x14ac:dyDescent="0.3">
      <c r="A2393" t="str">
        <f>HYPERLINK("https://anilist.co/staff/146739","Staff: Noriyuki Akita (Associate Producer)")</f>
        <v>Staff: Noriyuki Akita (Associate Producer)</v>
      </c>
      <c r="B2393" s="5">
        <v>70</v>
      </c>
      <c r="C2393" s="9">
        <v>1</v>
      </c>
      <c r="D2393" s="6">
        <v>1.4054813773717499E-4</v>
      </c>
      <c r="E2393" s="7">
        <v>9.8383696416022397E-3</v>
      </c>
    </row>
    <row r="2394" spans="1:5" x14ac:dyDescent="0.3">
      <c r="A2394" t="str">
        <f>HYPERLINK("https://anilist.co/staff/142337","Staff: Takuya Matsushita (Chief Producer)")</f>
        <v>Staff: Takuya Matsushita (Chief Producer)</v>
      </c>
      <c r="B2394" s="5">
        <v>70</v>
      </c>
      <c r="C2394" s="9">
        <v>1</v>
      </c>
      <c r="D2394" s="6">
        <v>1.4054813773717499E-4</v>
      </c>
      <c r="E2394" s="7">
        <v>9.8383696416022397E-3</v>
      </c>
    </row>
    <row r="2395" spans="1:5" x14ac:dyDescent="0.3">
      <c r="A2395" t="str">
        <f>HYPERLINK("https://anilist.co/staff/218670","Staff: Shinya Katou (Director of Photography)")</f>
        <v>Staff: Shinya Katou (Director of Photography)</v>
      </c>
      <c r="B2395" s="5">
        <v>70</v>
      </c>
      <c r="C2395" s="9">
        <v>1</v>
      </c>
      <c r="D2395" s="6">
        <v>1.4054813773717499E-4</v>
      </c>
      <c r="E2395" s="7">
        <v>9.8383696416022397E-3</v>
      </c>
    </row>
    <row r="2396" spans="1:5" x14ac:dyDescent="0.3">
      <c r="A2396" t="str">
        <f>HYPERLINK("https://anilist.co/staff/148572","Staff: Gouta Aijima (Producer)")</f>
        <v>Staff: Gouta Aijima (Producer)</v>
      </c>
      <c r="B2396" s="5">
        <v>70</v>
      </c>
      <c r="C2396" s="9">
        <v>1</v>
      </c>
      <c r="D2396" s="6">
        <v>1.4054813773717499E-4</v>
      </c>
      <c r="E2396" s="7">
        <v>9.8383696416022397E-3</v>
      </c>
    </row>
    <row r="2397" spans="1:5" x14ac:dyDescent="0.3">
      <c r="A2397" t="str">
        <f>HYPERLINK("https://anilist.co/staff/218670","Staff: Shinya Katou (Photography)")</f>
        <v>Staff: Shinya Katou (Photography)</v>
      </c>
      <c r="B2397" s="5">
        <v>70</v>
      </c>
      <c r="C2397" s="9">
        <v>1</v>
      </c>
      <c r="D2397" s="6">
        <v>1.4054813773717499E-4</v>
      </c>
      <c r="E2397" s="7">
        <v>9.8383696416022397E-3</v>
      </c>
    </row>
    <row r="2398" spans="1:5" x14ac:dyDescent="0.3">
      <c r="A2398" t="str">
        <f>HYPERLINK("https://anilist.co/staff/118660","Staff: Kazuya Miura (Director)")</f>
        <v>Staff: Kazuya Miura (Director)</v>
      </c>
      <c r="B2398" s="5">
        <v>70</v>
      </c>
      <c r="C2398" s="9">
        <v>1</v>
      </c>
      <c r="D2398" s="6">
        <v>1.4054813773717499E-4</v>
      </c>
      <c r="E2398" s="7">
        <v>9.8383696416022397E-3</v>
      </c>
    </row>
    <row r="2399" spans="1:5" x14ac:dyDescent="0.3">
      <c r="A2399" t="str">
        <f>HYPERLINK("https://anilist.co/staff/133642","Staff: Manabu Kurihara (Character Design)")</f>
        <v>Staff: Manabu Kurihara (Character Design)</v>
      </c>
      <c r="B2399" s="5">
        <v>70</v>
      </c>
      <c r="C2399" s="9">
        <v>1</v>
      </c>
      <c r="D2399" s="6">
        <v>1.4054813773717499E-4</v>
      </c>
      <c r="E2399" s="7">
        <v>9.8383696416022397E-3</v>
      </c>
    </row>
    <row r="2400" spans="1:5" x14ac:dyDescent="0.3">
      <c r="A2400" t="str">
        <f>HYPERLINK("https://anilist.co/staff/125685","Staff: Take (Original Creator)")</f>
        <v>Staff: Take (Original Creator)</v>
      </c>
      <c r="B2400" s="5">
        <v>70</v>
      </c>
      <c r="C2400" s="9">
        <v>1</v>
      </c>
      <c r="D2400" s="6">
        <v>1.4054813773717499E-4</v>
      </c>
      <c r="E2400" s="7">
        <v>9.8383696416022397E-3</v>
      </c>
    </row>
    <row r="2401" spans="1:5" x14ac:dyDescent="0.3">
      <c r="A2401" t="str">
        <f>HYPERLINK("https://anilist.co/staff/174558","Staff: YuNi  (Theme Song Performance (ED))")</f>
        <v>Staff: YuNi  (Theme Song Performance (ED))</v>
      </c>
      <c r="B2401" s="5">
        <v>70</v>
      </c>
      <c r="C2401" s="9">
        <v>1</v>
      </c>
      <c r="D2401" s="6">
        <v>1.4054813773717499E-4</v>
      </c>
      <c r="E2401" s="7">
        <v>9.8383696416022397E-3</v>
      </c>
    </row>
    <row r="2402" spans="1:5" x14ac:dyDescent="0.3">
      <c r="A2402" t="str">
        <f>HYPERLINK("https://anilist.co/staff/180249","Staff: YUC'e (Theme Song Lyrics (ED))")</f>
        <v>Staff: YUC'e (Theme Song Lyrics (ED))</v>
      </c>
      <c r="B2402" s="5">
        <v>70</v>
      </c>
      <c r="C2402" s="9">
        <v>1</v>
      </c>
      <c r="D2402" s="6">
        <v>1.4054813773717499E-4</v>
      </c>
      <c r="E2402" s="7">
        <v>9.8383696416022397E-3</v>
      </c>
    </row>
    <row r="2403" spans="1:5" x14ac:dyDescent="0.3">
      <c r="A2403" t="str">
        <f>HYPERLINK("https://anilist.co/staff/180249","Staff: YUC'e (Theme Song Arrangement (ED))")</f>
        <v>Staff: YUC'e (Theme Song Arrangement (ED))</v>
      </c>
      <c r="B2403" s="5">
        <v>70</v>
      </c>
      <c r="C2403" s="9">
        <v>1</v>
      </c>
      <c r="D2403" s="6">
        <v>1.4054813773717499E-4</v>
      </c>
      <c r="E2403" s="7">
        <v>9.8383696416022397E-3</v>
      </c>
    </row>
    <row r="2404" spans="1:5" x14ac:dyDescent="0.3">
      <c r="A2404" t="str">
        <f>HYPERLINK("https://anilist.co/staff/180249","Staff: YUC'e (Theme Song Composition (ED))")</f>
        <v>Staff: YUC'e (Theme Song Composition (ED))</v>
      </c>
      <c r="B2404" s="5">
        <v>70</v>
      </c>
      <c r="C2404" s="9">
        <v>1</v>
      </c>
      <c r="D2404" s="6">
        <v>1.4054813773717499E-4</v>
      </c>
      <c r="E2404" s="7">
        <v>9.8383696416022397E-3</v>
      </c>
    </row>
    <row r="2405" spans="1:5" x14ac:dyDescent="0.3">
      <c r="A2405" t="str">
        <f>HYPERLINK("https://anilist.co/staff/120081","Staff: Kano  (Theme Song Performance (OP))")</f>
        <v>Staff: Kano  (Theme Song Performance (OP))</v>
      </c>
      <c r="B2405" s="5">
        <v>70</v>
      </c>
      <c r="C2405" s="9">
        <v>1</v>
      </c>
      <c r="D2405" s="6">
        <v>1.4054813773717499E-4</v>
      </c>
      <c r="E2405" s="7">
        <v>9.8383696416022397E-3</v>
      </c>
    </row>
    <row r="2406" spans="1:5" x14ac:dyDescent="0.3">
      <c r="A2406" t="str">
        <f>HYPERLINK("https://anilist.co/staff/117329","Staff: Naomi Oozora (Theme Song Performance (OP))")</f>
        <v>Staff: Naomi Oozora (Theme Song Performance (OP))</v>
      </c>
      <c r="B2406" s="5">
        <v>70</v>
      </c>
      <c r="C2406" s="9">
        <v>1</v>
      </c>
      <c r="D2406" s="6">
        <v>1.4054813773717499E-4</v>
      </c>
      <c r="E2406" s="7">
        <v>9.8383696416022397E-3</v>
      </c>
    </row>
    <row r="2407" spans="1:5" x14ac:dyDescent="0.3">
      <c r="A2407" t="str">
        <f>HYPERLINK("https://anilist.co/staff/128073","Staff: Tsubasa Itou (Theme Song Arrangement (OP))")</f>
        <v>Staff: Tsubasa Itou (Theme Song Arrangement (OP))</v>
      </c>
      <c r="B2407" s="5">
        <v>70</v>
      </c>
      <c r="C2407" s="9">
        <v>1</v>
      </c>
      <c r="D2407" s="6">
        <v>1.4054813773717499E-4</v>
      </c>
      <c r="E2407" s="7">
        <v>9.8383696416022397E-3</v>
      </c>
    </row>
    <row r="2408" spans="1:5" x14ac:dyDescent="0.3">
      <c r="A2408" t="str">
        <f>HYPERLINK("https://anilist.co/staff/148496","Staff: Tomokazu Tashiro (Theme Song Composition (OP))")</f>
        <v>Staff: Tomokazu Tashiro (Theme Song Composition (OP))</v>
      </c>
      <c r="B2408" s="5">
        <v>70</v>
      </c>
      <c r="C2408" s="9">
        <v>1</v>
      </c>
      <c r="D2408" s="6">
        <v>1.4054813773717499E-4</v>
      </c>
      <c r="E2408" s="7">
        <v>9.8383696416022397E-3</v>
      </c>
    </row>
    <row r="2409" spans="1:5" x14ac:dyDescent="0.3">
      <c r="A2409" t="str">
        <f>HYPERLINK("https://anilist.co/staff/148496","Staff: Tomokazu Tashiro (Theme Song Lyrics (OP))")</f>
        <v>Staff: Tomokazu Tashiro (Theme Song Lyrics (OP))</v>
      </c>
      <c r="B2409" s="5">
        <v>70</v>
      </c>
      <c r="C2409" s="9">
        <v>1</v>
      </c>
      <c r="D2409" s="6">
        <v>1.4054813773717499E-4</v>
      </c>
      <c r="E2409" s="7">
        <v>9.8383696416022397E-3</v>
      </c>
    </row>
    <row r="2410" spans="1:5" x14ac:dyDescent="0.3">
      <c r="A2410" t="str">
        <f>HYPERLINK("https://anilist.co/staff/133642","Staff: Manabu Kurihara (Chief Animation Director)")</f>
        <v>Staff: Manabu Kurihara (Chief Animation Director)</v>
      </c>
      <c r="B2410" s="5">
        <v>70</v>
      </c>
      <c r="C2410" s="9">
        <v>1</v>
      </c>
      <c r="D2410" s="6">
        <v>1.4054813773717499E-4</v>
      </c>
      <c r="E2410" s="7">
        <v>9.8383696416022397E-3</v>
      </c>
    </row>
    <row r="2411" spans="1:5" x14ac:dyDescent="0.3">
      <c r="A2411" t="str">
        <f>HYPERLINK("https://anilist.co/staff/168267","Staff: Rina Oguchi (Editing)")</f>
        <v>Staff: Rina Oguchi (Editing)</v>
      </c>
      <c r="B2411" s="5">
        <v>70</v>
      </c>
      <c r="C2411" s="9">
        <v>1</v>
      </c>
      <c r="D2411" s="6">
        <v>1.4054813773717499E-4</v>
      </c>
      <c r="E2411" s="7">
        <v>9.8383696416022397E-3</v>
      </c>
    </row>
    <row r="2412" spans="1:5" x14ac:dyDescent="0.3">
      <c r="A2412" t="str">
        <f>HYPERLINK("https://anilist.co/staff/148829","Staff: Ayako Aihara (Color Design)")</f>
        <v>Staff: Ayako Aihara (Color Design)</v>
      </c>
      <c r="B2412" s="5">
        <v>70</v>
      </c>
      <c r="C2412" s="9">
        <v>1</v>
      </c>
      <c r="D2412" s="6">
        <v>1.4054813773717499E-4</v>
      </c>
      <c r="E2412" s="7">
        <v>9.8383696416022397E-3</v>
      </c>
    </row>
    <row r="2413" spans="1:5" x14ac:dyDescent="0.3">
      <c r="A2413" t="str">
        <f>HYPERLINK("https://anilist.co/staff/159162","Staff: Satoshi Watanabe (Art Design)")</f>
        <v>Staff: Satoshi Watanabe (Art Design)</v>
      </c>
      <c r="B2413" s="5">
        <v>70</v>
      </c>
      <c r="C2413" s="9">
        <v>1</v>
      </c>
      <c r="D2413" s="6">
        <v>1.4054813773717499E-4</v>
      </c>
      <c r="E2413" s="7">
        <v>9.8383696416022397E-3</v>
      </c>
    </row>
    <row r="2414" spans="1:5" x14ac:dyDescent="0.3">
      <c r="A2414" t="str">
        <f>HYPERLINK("https://anilist.co/staff/159162","Staff: Satoshi Watanabe (Art Director)")</f>
        <v>Staff: Satoshi Watanabe (Art Director)</v>
      </c>
      <c r="B2414" s="5">
        <v>70</v>
      </c>
      <c r="C2414" s="9">
        <v>1</v>
      </c>
      <c r="D2414" s="6">
        <v>1.4054813773717499E-4</v>
      </c>
      <c r="E2414" s="7">
        <v>9.8383696416022397E-3</v>
      </c>
    </row>
    <row r="2415" spans="1:5" x14ac:dyDescent="0.3">
      <c r="A2415" t="str">
        <f>HYPERLINK("https://anilist.co/staff/181127","Staff: Satoshi Igarashi (Music)")</f>
        <v>Staff: Satoshi Igarashi (Music)</v>
      </c>
      <c r="B2415" s="5">
        <v>70</v>
      </c>
      <c r="C2415" s="9">
        <v>1</v>
      </c>
      <c r="D2415" s="6">
        <v>1.4054813773717499E-4</v>
      </c>
      <c r="E2415" s="7">
        <v>9.8383696416022397E-3</v>
      </c>
    </row>
    <row r="2416" spans="1:5" x14ac:dyDescent="0.3">
      <c r="A2416" t="str">
        <f>HYPERLINK("https://anilist.co/staff/148830","Staff: Kotobuki Matsumoku (Director of Photography)")</f>
        <v>Staff: Kotobuki Matsumoku (Director of Photography)</v>
      </c>
      <c r="B2416" s="5">
        <v>70</v>
      </c>
      <c r="C2416" s="9">
        <v>1</v>
      </c>
      <c r="D2416" s="6">
        <v>1.4054813773717499E-4</v>
      </c>
      <c r="E2416" s="7">
        <v>9.8383696416022397E-3</v>
      </c>
    </row>
    <row r="2417" spans="1:5" x14ac:dyDescent="0.3">
      <c r="A2417" t="str">
        <f>HYPERLINK("https://anilist.co/staff/196988","Staff: Jakob Möller (ADR Script (German))")</f>
        <v>Staff: Jakob Möller (ADR Script (German))</v>
      </c>
      <c r="B2417" s="5">
        <v>70</v>
      </c>
      <c r="C2417" s="9">
        <v>1</v>
      </c>
      <c r="D2417" s="6">
        <v>1.4054813773717499E-4</v>
      </c>
      <c r="E2417" s="7">
        <v>9.8383696416022397E-3</v>
      </c>
    </row>
    <row r="2418" spans="1:5" x14ac:dyDescent="0.3">
      <c r="A2418" t="str">
        <f>HYPERLINK("https://anilist.co/staff/143813","Staff: Franziska Trunte (ADR Director (German))")</f>
        <v>Staff: Franziska Trunte (ADR Director (German))</v>
      </c>
      <c r="B2418" s="5">
        <v>70</v>
      </c>
      <c r="C2418" s="9">
        <v>1</v>
      </c>
      <c r="D2418" s="6">
        <v>1.4054813773717499E-4</v>
      </c>
      <c r="E2418" s="7">
        <v>9.8383696416022397E-3</v>
      </c>
    </row>
    <row r="2419" spans="1:5" x14ac:dyDescent="0.3">
      <c r="A2419" t="str">
        <f>HYPERLINK("https://anilist.co/staff/107541","Staff: Yui Hara (Original Creator)")</f>
        <v>Staff: Yui Hara (Original Creator)</v>
      </c>
      <c r="B2419" s="5">
        <v>70</v>
      </c>
      <c r="C2419" s="9">
        <v>1</v>
      </c>
      <c r="D2419" s="6">
        <v>1.4054813773717499E-4</v>
      </c>
      <c r="E2419" s="7">
        <v>9.8383696416022397E-3</v>
      </c>
    </row>
    <row r="2420" spans="1:5" x14ac:dyDescent="0.3">
      <c r="A2420" t="str">
        <f>HYPERLINK("https://anilist.co/staff/112601","Staff: Kana Ishida (Chief Animation Director)")</f>
        <v>Staff: Kana Ishida (Chief Animation Director)</v>
      </c>
      <c r="B2420" s="5">
        <v>70</v>
      </c>
      <c r="C2420" s="9">
        <v>1</v>
      </c>
      <c r="D2420" s="6">
        <v>1.4054813773717499E-4</v>
      </c>
      <c r="E2420" s="7">
        <v>9.8383696416022397E-3</v>
      </c>
    </row>
    <row r="2421" spans="1:5" x14ac:dyDescent="0.3">
      <c r="A2421" t="str">
        <f>HYPERLINK("https://anilist.co/staff/109639","Staff: Ray  (Theme Song Performance (OP))")</f>
        <v>Staff: Ray  (Theme Song Performance (OP))</v>
      </c>
      <c r="B2421" s="5">
        <v>70</v>
      </c>
      <c r="C2421" s="9">
        <v>1</v>
      </c>
      <c r="D2421" s="6">
        <v>1.4054813773717499E-4</v>
      </c>
      <c r="E2421" s="7">
        <v>9.8383696416022397E-3</v>
      </c>
    </row>
    <row r="2422" spans="1:5" x14ac:dyDescent="0.3">
      <c r="A2422" t="str">
        <f>HYPERLINK("https://anilist.co/staff/104990","Staff: Yuusuke Yamamoto (Storyboard (eps 2, 5))")</f>
        <v>Staff: Yuusuke Yamamoto (Storyboard (eps 2, 5))</v>
      </c>
      <c r="B2422" s="5">
        <v>70</v>
      </c>
      <c r="C2422" s="9">
        <v>1</v>
      </c>
      <c r="D2422" s="6">
        <v>1.4054813773717499E-4</v>
      </c>
      <c r="E2422" s="7">
        <v>9.8383696416022397E-3</v>
      </c>
    </row>
    <row r="2423" spans="1:5" x14ac:dyDescent="0.3">
      <c r="A2423" t="str">
        <f>HYPERLINK("https://anilist.co/staff/122959","Staff: Keisuke Fukunaga (Assistant Producer)")</f>
        <v>Staff: Keisuke Fukunaga (Assistant Producer)</v>
      </c>
      <c r="B2423" s="5">
        <v>70</v>
      </c>
      <c r="C2423" s="9">
        <v>1</v>
      </c>
      <c r="D2423" s="6">
        <v>1.4054813773717499E-4</v>
      </c>
      <c r="E2423" s="7">
        <v>9.8383696416022397E-3</v>
      </c>
    </row>
    <row r="2424" spans="1:5" x14ac:dyDescent="0.3">
      <c r="A2424" t="str">
        <f>HYPERLINK("https://anilist.co/staff/123133","Staff: Yoshinobu Tokumoto (Storyboard (eps 8, 9))")</f>
        <v>Staff: Yoshinobu Tokumoto (Storyboard (eps 8, 9))</v>
      </c>
      <c r="B2424" s="5">
        <v>70</v>
      </c>
      <c r="C2424" s="9">
        <v>1</v>
      </c>
      <c r="D2424" s="6">
        <v>1.4054813773717499E-4</v>
      </c>
      <c r="E2424" s="7">
        <v>9.8383696416022397E-3</v>
      </c>
    </row>
    <row r="2425" spans="1:5" x14ac:dyDescent="0.3">
      <c r="A2425" t="str">
        <f>HYPERLINK("https://anilist.co/staff/123133","Staff: Yoshinobu Tokumoto (Episode Director (ep 2))")</f>
        <v>Staff: Yoshinobu Tokumoto (Episode Director (ep 2))</v>
      </c>
      <c r="B2425" s="5">
        <v>70</v>
      </c>
      <c r="C2425" s="9">
        <v>1</v>
      </c>
      <c r="D2425" s="6">
        <v>1.4054813773717499E-4</v>
      </c>
      <c r="E2425" s="7">
        <v>9.8383696416022397E-3</v>
      </c>
    </row>
    <row r="2426" spans="1:5" x14ac:dyDescent="0.3">
      <c r="A2426" t="str">
        <f>HYPERLINK("https://anilist.co/staff/112601","Staff: Kana Ishida (Character Design)")</f>
        <v>Staff: Kana Ishida (Character Design)</v>
      </c>
      <c r="B2426" s="5">
        <v>70</v>
      </c>
      <c r="C2426" s="9">
        <v>1</v>
      </c>
      <c r="D2426" s="6">
        <v>1.4054813773717499E-4</v>
      </c>
      <c r="E2426" s="7">
        <v>9.8383696416022397E-3</v>
      </c>
    </row>
    <row r="2427" spans="1:5" x14ac:dyDescent="0.3">
      <c r="A2427" t="str">
        <f>HYPERLINK("https://anilist.co/staff/107198","Staff: Jukki Hanada (Script)")</f>
        <v>Staff: Jukki Hanada (Script)</v>
      </c>
      <c r="B2427" s="5">
        <v>70</v>
      </c>
      <c r="C2427" s="9">
        <v>1</v>
      </c>
      <c r="D2427" s="6">
        <v>1.4054813773717499E-4</v>
      </c>
      <c r="E2427" s="7">
        <v>9.8383696416022397E-3</v>
      </c>
    </row>
    <row r="2428" spans="1:5" x14ac:dyDescent="0.3">
      <c r="A2428" t="str">
        <f>HYPERLINK("https://anilist.co/staff/95086","Staff: Jun Fukuyama (Theme Song Performance (ED))")</f>
        <v>Staff: Jun Fukuyama (Theme Song Performance (ED))</v>
      </c>
      <c r="B2428" s="5">
        <v>70</v>
      </c>
      <c r="C2428" s="9">
        <v>1</v>
      </c>
      <c r="D2428" s="6">
        <v>1.4054813773717499E-4</v>
      </c>
      <c r="E2428" s="7">
        <v>9.8383696416022397E-3</v>
      </c>
    </row>
    <row r="2429" spans="1:5" x14ac:dyDescent="0.3">
      <c r="A2429" t="str">
        <f>HYPERLINK("https://anilist.co/staff/95118","Staff: Hiroshi Kamiya (Theme Song Performance (ED))")</f>
        <v>Staff: Hiroshi Kamiya (Theme Song Performance (ED))</v>
      </c>
      <c r="B2429" s="5">
        <v>70</v>
      </c>
      <c r="C2429" s="9">
        <v>1</v>
      </c>
      <c r="D2429" s="6">
        <v>1.4054813773717499E-4</v>
      </c>
      <c r="E2429" s="7">
        <v>9.8383696416022397E-3</v>
      </c>
    </row>
    <row r="2430" spans="1:5" x14ac:dyDescent="0.3">
      <c r="A2430" t="str">
        <f>HYPERLINK("https://anilist.co/staff/95212","Staff: Daisuke Ono (Theme Song Performance (ED))")</f>
        <v>Staff: Daisuke Ono (Theme Song Performance (ED))</v>
      </c>
      <c r="B2430" s="5">
        <v>70</v>
      </c>
      <c r="C2430" s="9">
        <v>1</v>
      </c>
      <c r="D2430" s="6">
        <v>1.4054813773717499E-4</v>
      </c>
      <c r="E2430" s="7">
        <v>9.8383696416022397E-3</v>
      </c>
    </row>
    <row r="2431" spans="1:5" x14ac:dyDescent="0.3">
      <c r="A2431" t="str">
        <f>HYPERLINK("https://anilist.co/staff/95413","Staff: Eri Kitamura (Theme Song Performance (OP))")</f>
        <v>Staff: Eri Kitamura (Theme Song Performance (OP))</v>
      </c>
      <c r="B2431" s="5">
        <v>70</v>
      </c>
      <c r="C2431" s="9">
        <v>1</v>
      </c>
      <c r="D2431" s="6">
        <v>1.4054813773717499E-4</v>
      </c>
      <c r="E2431" s="7">
        <v>9.8383696416022397E-3</v>
      </c>
    </row>
    <row r="2432" spans="1:5" x14ac:dyDescent="0.3">
      <c r="A2432" t="str">
        <f>HYPERLINK("https://anilist.co/staff/95504","Staff: Saki Fujita (Theme Song Performance (OP, ED2))")</f>
        <v>Staff: Saki Fujita (Theme Song Performance (OP, ED2))</v>
      </c>
      <c r="B2432" s="5">
        <v>70</v>
      </c>
      <c r="C2432" s="9">
        <v>1</v>
      </c>
      <c r="D2432" s="6">
        <v>1.4054813773717499E-4</v>
      </c>
      <c r="E2432" s="7">
        <v>9.8383696416022397E-3</v>
      </c>
    </row>
    <row r="2433" spans="1:5" x14ac:dyDescent="0.3">
      <c r="A2433" t="str">
        <f>HYPERLINK("https://anilist.co/staff/95817","Staff: Kana Asumi (Theme Song Performance (OP))")</f>
        <v>Staff: Kana Asumi (Theme Song Performance (OP))</v>
      </c>
      <c r="B2433" s="5">
        <v>70</v>
      </c>
      <c r="C2433" s="9">
        <v>1</v>
      </c>
      <c r="D2433" s="6">
        <v>1.4054813773717499E-4</v>
      </c>
      <c r="E2433" s="7">
        <v>9.8383696416022397E-3</v>
      </c>
    </row>
    <row r="2434" spans="1:5" x14ac:dyDescent="0.3">
      <c r="A2434" t="str">
        <f>HYPERLINK("https://anilist.co/staff/101555","Staff: Satoru Kousaki (Theme Song Arrangement (OP, ED1))")</f>
        <v>Staff: Satoru Kousaki (Theme Song Arrangement (OP, ED1))</v>
      </c>
      <c r="B2434" s="5">
        <v>70</v>
      </c>
      <c r="C2434" s="9">
        <v>1</v>
      </c>
      <c r="D2434" s="6">
        <v>1.4054813773717499E-4</v>
      </c>
      <c r="E2434" s="7">
        <v>9.8383696416022397E-3</v>
      </c>
    </row>
    <row r="2435" spans="1:5" x14ac:dyDescent="0.3">
      <c r="A2435" t="str">
        <f>HYPERLINK("https://anilist.co/staff/101555","Staff: Satoru Kousaki (Theme Song Composition (OP, ED1))")</f>
        <v>Staff: Satoru Kousaki (Theme Song Composition (OP, ED1))</v>
      </c>
      <c r="B2435" s="5">
        <v>70</v>
      </c>
      <c r="C2435" s="9">
        <v>1</v>
      </c>
      <c r="D2435" s="6">
        <v>1.4054813773717499E-4</v>
      </c>
      <c r="E2435" s="7">
        <v>9.8383696416022397E-3</v>
      </c>
    </row>
    <row r="2436" spans="1:5" x14ac:dyDescent="0.3">
      <c r="A2436" t="str">
        <f>HYPERLINK("https://anilist.co/staff/102935","Staff: Fumiko Matsumoto (Key Animation  (ep 1))")</f>
        <v>Staff: Fumiko Matsumoto (Key Animation  (ep 1))</v>
      </c>
      <c r="B2436" s="5">
        <v>70</v>
      </c>
      <c r="C2436" s="9">
        <v>1</v>
      </c>
      <c r="D2436" s="6">
        <v>1.4054813773717499E-4</v>
      </c>
      <c r="E2436" s="7">
        <v>9.8383696416022397E-3</v>
      </c>
    </row>
    <row r="2437" spans="1:5" x14ac:dyDescent="0.3">
      <c r="A2437" t="str">
        <f>HYPERLINK("https://anilist.co/staff/105159","Staff: Atsuko Watanabe (Key Animation  (ep 9))")</f>
        <v>Staff: Atsuko Watanabe (Key Animation  (ep 9))</v>
      </c>
      <c r="B2437" s="5">
        <v>70</v>
      </c>
      <c r="C2437" s="9">
        <v>1</v>
      </c>
      <c r="D2437" s="6">
        <v>1.4054813773717499E-4</v>
      </c>
      <c r="E2437" s="7">
        <v>9.8383696416022397E-3</v>
      </c>
    </row>
    <row r="2438" spans="1:5" x14ac:dyDescent="0.3">
      <c r="A2438" t="str">
        <f>HYPERLINK("https://anilist.co/staff/105678","Staff: Haruko Iizuka (Animation Director  (ep 9))")</f>
        <v>Staff: Haruko Iizuka (Animation Director  (ep 9))</v>
      </c>
      <c r="B2438" s="5">
        <v>70</v>
      </c>
      <c r="C2438" s="9">
        <v>1</v>
      </c>
      <c r="D2438" s="6">
        <v>1.4054813773717499E-4</v>
      </c>
      <c r="E2438" s="7">
        <v>9.8383696416022397E-3</v>
      </c>
    </row>
    <row r="2439" spans="1:5" x14ac:dyDescent="0.3">
      <c r="A2439" t="str">
        <f>HYPERLINK("https://anilist.co/staff/105767","Staff: Yasushi Shingou (Key Animation)")</f>
        <v>Staff: Yasushi Shingou (Key Animation)</v>
      </c>
      <c r="B2439" s="5">
        <v>70</v>
      </c>
      <c r="C2439" s="9">
        <v>1</v>
      </c>
      <c r="D2439" s="6">
        <v>1.4054813773717499E-4</v>
      </c>
      <c r="E2439" s="7">
        <v>9.8383696416022397E-3</v>
      </c>
    </row>
    <row r="2440" spans="1:5" x14ac:dyDescent="0.3">
      <c r="A2440" t="str">
        <f>HYPERLINK("https://anilist.co/staff/106299","Staff: Takaomi Kanasaki (Storyboard (eps 7, 11))")</f>
        <v>Staff: Takaomi Kanasaki (Storyboard (eps 7, 11))</v>
      </c>
      <c r="B2440" s="5">
        <v>70</v>
      </c>
      <c r="C2440" s="9">
        <v>1</v>
      </c>
      <c r="D2440" s="6">
        <v>1.4054813773717499E-4</v>
      </c>
      <c r="E2440" s="7">
        <v>9.8383696416022397E-3</v>
      </c>
    </row>
    <row r="2441" spans="1:5" x14ac:dyDescent="0.3">
      <c r="A2441" t="str">
        <f>HYPERLINK("https://anilist.co/staff/106426","Staff: Fumitoshi Oizaki (Key Animation  (ep: 6))")</f>
        <v>Staff: Fumitoshi Oizaki (Key Animation  (ep: 6))</v>
      </c>
      <c r="B2441" s="5">
        <v>70</v>
      </c>
      <c r="C2441" s="9">
        <v>1</v>
      </c>
      <c r="D2441" s="6">
        <v>1.4054813773717499E-4</v>
      </c>
      <c r="E2441" s="7">
        <v>9.8383696416022397E-3</v>
      </c>
    </row>
    <row r="2442" spans="1:5" x14ac:dyDescent="0.3">
      <c r="A2442" t="str">
        <f>HYPERLINK("https://anilist.co/staff/106605","Staff: Rika Nakase (Script)")</f>
        <v>Staff: Rika Nakase (Script)</v>
      </c>
      <c r="B2442" s="5">
        <v>70</v>
      </c>
      <c r="C2442" s="9">
        <v>1</v>
      </c>
      <c r="D2442" s="6">
        <v>1.4054813773717499E-4</v>
      </c>
      <c r="E2442" s="7">
        <v>9.8383696416022397E-3</v>
      </c>
    </row>
    <row r="2443" spans="1:5" x14ac:dyDescent="0.3">
      <c r="A2443" t="str">
        <f>HYPERLINK("https://anilist.co/staff/106764","Staff: Takeshi Yoshioka (Key Animation  (ep 6))")</f>
        <v>Staff: Takeshi Yoshioka (Key Animation  (ep 6))</v>
      </c>
      <c r="B2443" s="5">
        <v>70</v>
      </c>
      <c r="C2443" s="9">
        <v>1</v>
      </c>
      <c r="D2443" s="6">
        <v>1.4054813773717499E-4</v>
      </c>
      <c r="E2443" s="7">
        <v>9.8383696416022397E-3</v>
      </c>
    </row>
    <row r="2444" spans="1:5" x14ac:dyDescent="0.3">
      <c r="A2444" t="str">
        <f>HYPERLINK("https://anilist.co/staff/107076","Staff: Mieko Hosoi (Key Animation  (ep 6))")</f>
        <v>Staff: Mieko Hosoi (Key Animation  (ep 6))</v>
      </c>
      <c r="B2444" s="5">
        <v>70</v>
      </c>
      <c r="C2444" s="9">
        <v>1</v>
      </c>
      <c r="D2444" s="6">
        <v>1.4054813773717499E-4</v>
      </c>
      <c r="E2444" s="7">
        <v>9.8383696416022397E-3</v>
      </c>
    </row>
    <row r="2445" spans="1:5" x14ac:dyDescent="0.3">
      <c r="A2445" t="str">
        <f>HYPERLINK("https://anilist.co/staff/107430","Staff: Kousuke Kawamura (Key Animation  (ep 1))")</f>
        <v>Staff: Kousuke Kawamura (Key Animation  (ep 1))</v>
      </c>
      <c r="B2445" s="5">
        <v>70</v>
      </c>
      <c r="C2445" s="9">
        <v>1</v>
      </c>
      <c r="D2445" s="6">
        <v>1.4054813773717499E-4</v>
      </c>
      <c r="E2445" s="7">
        <v>9.8383696416022397E-3</v>
      </c>
    </row>
    <row r="2446" spans="1:5" x14ac:dyDescent="0.3">
      <c r="A2446" t="str">
        <f>HYPERLINK("https://anilist.co/staff/110189","Staff: Shingo Adachi (Character Design)")</f>
        <v>Staff: Shingo Adachi (Character Design)</v>
      </c>
      <c r="B2446" s="5">
        <v>70</v>
      </c>
      <c r="C2446" s="9">
        <v>1</v>
      </c>
      <c r="D2446" s="6">
        <v>1.4054813773717499E-4</v>
      </c>
      <c r="E2446" s="7">
        <v>9.8383696416022397E-3</v>
      </c>
    </row>
    <row r="2447" spans="1:5" x14ac:dyDescent="0.3">
      <c r="A2447" t="str">
        <f>HYPERLINK("https://anilist.co/staff/110189","Staff: Shingo Adachi (Animation Director (OP, ED, ep 13))")</f>
        <v>Staff: Shingo Adachi (Animation Director (OP, ED, ep 13))</v>
      </c>
      <c r="B2447" s="5">
        <v>70</v>
      </c>
      <c r="C2447" s="9">
        <v>1</v>
      </c>
      <c r="D2447" s="6">
        <v>1.4054813773717499E-4</v>
      </c>
      <c r="E2447" s="7">
        <v>9.8383696416022397E-3</v>
      </c>
    </row>
    <row r="2448" spans="1:5" x14ac:dyDescent="0.3">
      <c r="A2448" t="str">
        <f>HYPERLINK("https://anilist.co/staff/118906","Staff: Yumi Kamakura (Director)")</f>
        <v>Staff: Yumi Kamakura (Director)</v>
      </c>
      <c r="B2448" s="5">
        <v>70</v>
      </c>
      <c r="C2448" s="9">
        <v>1</v>
      </c>
      <c r="D2448" s="6">
        <v>1.4054813773717499E-4</v>
      </c>
      <c r="E2448" s="7">
        <v>9.8383696416022397E-3</v>
      </c>
    </row>
    <row r="2449" spans="1:5" x14ac:dyDescent="0.3">
      <c r="A2449" t="str">
        <f>HYPERLINK("https://anilist.co/staff/120423","Staff: Mayuko Nakano (Character Design)")</f>
        <v>Staff: Mayuko Nakano (Character Design)</v>
      </c>
      <c r="B2449" s="5">
        <v>70</v>
      </c>
      <c r="C2449" s="9">
        <v>1</v>
      </c>
      <c r="D2449" s="6">
        <v>1.4054813773717499E-4</v>
      </c>
      <c r="E2449" s="7">
        <v>9.8383696416022397E-3</v>
      </c>
    </row>
    <row r="2450" spans="1:5" x14ac:dyDescent="0.3">
      <c r="A2450" t="str">
        <f>HYPERLINK("https://anilist.co/staff/120423","Staff: Mayuko Nakano (Chief Animation Director)")</f>
        <v>Staff: Mayuko Nakano (Chief Animation Director)</v>
      </c>
      <c r="B2450" s="5">
        <v>70</v>
      </c>
      <c r="C2450" s="9">
        <v>1</v>
      </c>
      <c r="D2450" s="6">
        <v>1.4054813773717499E-4</v>
      </c>
      <c r="E2450" s="7">
        <v>9.8383696416022397E-3</v>
      </c>
    </row>
    <row r="2451" spans="1:5" x14ac:dyDescent="0.3">
      <c r="A2451" t="str">
        <f>HYPERLINK("https://anilist.co/staff/123226","Staff: Izuro Ijuuin (Animation Director (ep 5))")</f>
        <v>Staff: Izuro Ijuuin (Animation Director (ep 5))</v>
      </c>
      <c r="B2451" s="5">
        <v>70</v>
      </c>
      <c r="C2451" s="9">
        <v>1</v>
      </c>
      <c r="D2451" s="6">
        <v>1.4054813773717499E-4</v>
      </c>
      <c r="E2451" s="7">
        <v>9.8383696416022397E-3</v>
      </c>
    </row>
    <row r="2452" spans="1:5" x14ac:dyDescent="0.3">
      <c r="A2452" t="str">
        <f>HYPERLINK("https://anilist.co/staff/116517","Staff: Sora Amamiya (Theme Song Performance (OP))")</f>
        <v>Staff: Sora Amamiya (Theme Song Performance (OP))</v>
      </c>
      <c r="B2452" s="5">
        <v>70</v>
      </c>
      <c r="C2452" s="9">
        <v>1</v>
      </c>
      <c r="D2452" s="6">
        <v>1.4054813773717499E-4</v>
      </c>
      <c r="E2452" s="7">
        <v>9.8383696416022397E-3</v>
      </c>
    </row>
    <row r="2453" spans="1:5" x14ac:dyDescent="0.3">
      <c r="A2453" t="str">
        <f>HYPERLINK("https://anilist.co/staff/95819","Staff: Kenshou Ono (Theme Song Performance (ED))")</f>
        <v>Staff: Kenshou Ono (Theme Song Performance (ED))</v>
      </c>
      <c r="B2453" s="5">
        <v>70</v>
      </c>
      <c r="C2453" s="9">
        <v>1</v>
      </c>
      <c r="D2453" s="6">
        <v>1.4054813773717499E-4</v>
      </c>
      <c r="E2453" s="7">
        <v>9.8383696416022397E-3</v>
      </c>
    </row>
    <row r="2454" spans="1:5" x14ac:dyDescent="0.3">
      <c r="A2454" t="str">
        <f>HYPERLINK("https://anilist.co/staff/96764","Staff: Kouki Uchiyama (Theme Song Performance (ED))")</f>
        <v>Staff: Kouki Uchiyama (Theme Song Performance (ED))</v>
      </c>
      <c r="B2454" s="5">
        <v>70</v>
      </c>
      <c r="C2454" s="9">
        <v>1</v>
      </c>
      <c r="D2454" s="6">
        <v>1.4054813773717499E-4</v>
      </c>
      <c r="E2454" s="7">
        <v>9.8383696416022397E-3</v>
      </c>
    </row>
    <row r="2455" spans="1:5" x14ac:dyDescent="0.3">
      <c r="A2455" t="str">
        <f>HYPERLINK("https://anilist.co/staff/120027","Staff: Tomotaka Oosumi (Theme Song Arrangement (OP))")</f>
        <v>Staff: Tomotaka Oosumi (Theme Song Arrangement (OP))</v>
      </c>
      <c r="B2455" s="5">
        <v>70</v>
      </c>
      <c r="C2455" s="9">
        <v>1</v>
      </c>
      <c r="D2455" s="6">
        <v>1.4054813773717499E-4</v>
      </c>
      <c r="E2455" s="7">
        <v>9.8383696416022397E-3</v>
      </c>
    </row>
    <row r="2456" spans="1:5" x14ac:dyDescent="0.3">
      <c r="A2456" t="str">
        <f>HYPERLINK("https://anilist.co/staff/102263","Staff: Youko Hikasa (Theme Song Performance (OP))")</f>
        <v>Staff: Youko Hikasa (Theme Song Performance (OP))</v>
      </c>
      <c r="B2456" s="5">
        <v>70</v>
      </c>
      <c r="C2456" s="9">
        <v>1</v>
      </c>
      <c r="D2456" s="6">
        <v>1.4054813773717499E-4</v>
      </c>
      <c r="E2456" s="7">
        <v>9.8383696416022397E-3</v>
      </c>
    </row>
    <row r="2457" spans="1:5" x14ac:dyDescent="0.3">
      <c r="A2457" t="str">
        <f>HYPERLINK("https://anilist.co/staff/95890","Staff: Haruka Tomatsu (Theme Song Performance (OP))")</f>
        <v>Staff: Haruka Tomatsu (Theme Song Performance (OP))</v>
      </c>
      <c r="B2457" s="5">
        <v>70</v>
      </c>
      <c r="C2457" s="9">
        <v>1</v>
      </c>
      <c r="D2457" s="6">
        <v>1.4054813773717499E-4</v>
      </c>
      <c r="E2457" s="7">
        <v>9.8383696416022397E-3</v>
      </c>
    </row>
    <row r="2458" spans="1:5" x14ac:dyDescent="0.3">
      <c r="A2458" t="str">
        <f>HYPERLINK("https://anilist.co/staff/95513","Staff: Yuuichi Nakamura (Theme Song Performance (ED))")</f>
        <v>Staff: Yuuichi Nakamura (Theme Song Performance (ED))</v>
      </c>
      <c r="B2458" s="5">
        <v>70</v>
      </c>
      <c r="C2458" s="9">
        <v>1</v>
      </c>
      <c r="D2458" s="6">
        <v>1.4054813773717499E-4</v>
      </c>
      <c r="E2458" s="7">
        <v>9.8383696416022397E-3</v>
      </c>
    </row>
    <row r="2459" spans="1:5" x14ac:dyDescent="0.3">
      <c r="A2459" t="str">
        <f>HYPERLINK("https://anilist.co/staff/120027","Staff: Tomotaka Oosumi (Theme Song Composition (OP))")</f>
        <v>Staff: Tomotaka Oosumi (Theme Song Composition (OP))</v>
      </c>
      <c r="B2459" s="5">
        <v>70</v>
      </c>
      <c r="C2459" s="9">
        <v>1</v>
      </c>
      <c r="D2459" s="6">
        <v>1.4054813773717499E-4</v>
      </c>
      <c r="E2459" s="7">
        <v>9.8383696416022397E-3</v>
      </c>
    </row>
    <row r="2460" spans="1:5" x14ac:dyDescent="0.3">
      <c r="A2460" t="str">
        <f>HYPERLINK("https://anilist.co/staff/167180","Staff: Ryuuhei Aoyagi (Episode Director (ep 6))")</f>
        <v>Staff: Ryuuhei Aoyagi (Episode Director (ep 6))</v>
      </c>
      <c r="B2460" s="5">
        <v>70</v>
      </c>
      <c r="C2460" s="9">
        <v>1</v>
      </c>
      <c r="D2460" s="6">
        <v>1.4054813773717499E-4</v>
      </c>
      <c r="E2460" s="7">
        <v>9.8383696416022397E-3</v>
      </c>
    </row>
    <row r="2461" spans="1:5" x14ac:dyDescent="0.3">
      <c r="A2461" t="str">
        <f>HYPERLINK("https://anilist.co/staff/118906","Staff: Yumi Kamakura (Episode Director (eps 1, 9, 13))")</f>
        <v>Staff: Yumi Kamakura (Episode Director (eps 1, 9, 13))</v>
      </c>
      <c r="B2461" s="5">
        <v>70</v>
      </c>
      <c r="C2461" s="9">
        <v>1</v>
      </c>
      <c r="D2461" s="6">
        <v>1.4054813773717499E-4</v>
      </c>
      <c r="E2461" s="7">
        <v>9.8383696416022397E-3</v>
      </c>
    </row>
    <row r="2462" spans="1:5" x14ac:dyDescent="0.3">
      <c r="A2462" t="str">
        <f>HYPERLINK("https://anilist.co/staff/136442","Staff: Nanako  Shimazaki (Storyboard (ep 11))")</f>
        <v>Staff: Nanako  Shimazaki (Storyboard (ep 11))</v>
      </c>
      <c r="B2462" s="5">
        <v>70</v>
      </c>
      <c r="C2462" s="9">
        <v>1</v>
      </c>
      <c r="D2462" s="6">
        <v>1.4054813773717499E-4</v>
      </c>
      <c r="E2462" s="7">
        <v>9.8383696416022397E-3</v>
      </c>
    </row>
    <row r="2463" spans="1:5" x14ac:dyDescent="0.3">
      <c r="A2463" t="str">
        <f>HYPERLINK("https://anilist.co/staff/134974","Staff: Satoshi Saga (Episode Director (ep 2))")</f>
        <v>Staff: Satoshi Saga (Episode Director (ep 2))</v>
      </c>
      <c r="B2463" s="5">
        <v>70</v>
      </c>
      <c r="C2463" s="9">
        <v>1</v>
      </c>
      <c r="D2463" s="6">
        <v>1.4054813773717499E-4</v>
      </c>
      <c r="E2463" s="7">
        <v>9.8383696416022397E-3</v>
      </c>
    </row>
    <row r="2464" spans="1:5" x14ac:dyDescent="0.3">
      <c r="A2464" t="str">
        <f>HYPERLINK("https://anilist.co/staff/104744","Staff: Rei Nakahara (Episode Director (ep 3))")</f>
        <v>Staff: Rei Nakahara (Episode Director (ep 3))</v>
      </c>
      <c r="B2464" s="5">
        <v>70</v>
      </c>
      <c r="C2464" s="9">
        <v>1</v>
      </c>
      <c r="D2464" s="6">
        <v>1.4054813773717499E-4</v>
      </c>
      <c r="E2464" s="7">
        <v>9.8383696416022397E-3</v>
      </c>
    </row>
    <row r="2465" spans="1:5" x14ac:dyDescent="0.3">
      <c r="A2465" t="str">
        <f>HYPERLINK("https://anilist.co/staff/118906","Staff: Yumi Kamakura (Storyboard (eps 1, 9, 13))")</f>
        <v>Staff: Yumi Kamakura (Storyboard (eps 1, 9, 13))</v>
      </c>
      <c r="B2465" s="5">
        <v>70</v>
      </c>
      <c r="C2465" s="9">
        <v>1</v>
      </c>
      <c r="D2465" s="6">
        <v>1.4054813773717499E-4</v>
      </c>
      <c r="E2465" s="7">
        <v>9.8383696416022397E-3</v>
      </c>
    </row>
    <row r="2466" spans="1:5" x14ac:dyDescent="0.3">
      <c r="A2466" t="str">
        <f>HYPERLINK("https://anilist.co/staff/134974","Staff: Satoshi Saga (Storyboard (eps 2, 8))")</f>
        <v>Staff: Satoshi Saga (Storyboard (eps 2, 8))</v>
      </c>
      <c r="B2466" s="5">
        <v>70</v>
      </c>
      <c r="C2466" s="9">
        <v>1</v>
      </c>
      <c r="D2466" s="6">
        <v>1.4054813773717499E-4</v>
      </c>
      <c r="E2466" s="7">
        <v>9.8383696416022397E-3</v>
      </c>
    </row>
    <row r="2467" spans="1:5" x14ac:dyDescent="0.3">
      <c r="A2467" t="str">
        <f>HYPERLINK("https://anilist.co/staff/167180","Staff: Ryuuhei Aoyagi (Storyboard (eps 6, 12))")</f>
        <v>Staff: Ryuuhei Aoyagi (Storyboard (eps 6, 12))</v>
      </c>
      <c r="B2467" s="5">
        <v>70</v>
      </c>
      <c r="C2467" s="9">
        <v>1</v>
      </c>
      <c r="D2467" s="6">
        <v>1.4054813773717499E-4</v>
      </c>
      <c r="E2467" s="7">
        <v>9.8383696416022397E-3</v>
      </c>
    </row>
    <row r="2468" spans="1:5" x14ac:dyDescent="0.3">
      <c r="A2468" t="str">
        <f>HYPERLINK("https://anilist.co/staff/182417","Staff: Mamiko Sekiya (Episode Director (ep 10))")</f>
        <v>Staff: Mamiko Sekiya (Episode Director (ep 10))</v>
      </c>
      <c r="B2468" s="5">
        <v>70</v>
      </c>
      <c r="C2468" s="9">
        <v>1</v>
      </c>
      <c r="D2468" s="6">
        <v>1.4054813773717499E-4</v>
      </c>
      <c r="E2468" s="7">
        <v>9.8383696416022397E-3</v>
      </c>
    </row>
    <row r="2469" spans="1:5" x14ac:dyDescent="0.3">
      <c r="A2469" t="str">
        <f>HYPERLINK("https://anilist.co/staff/136442","Staff: Nanako  Shimazaki (Episode Director (ep 11))")</f>
        <v>Staff: Nanako  Shimazaki (Episode Director (ep 11))</v>
      </c>
      <c r="B2469" s="5">
        <v>70</v>
      </c>
      <c r="C2469" s="9">
        <v>1</v>
      </c>
      <c r="D2469" s="6">
        <v>1.4054813773717499E-4</v>
      </c>
      <c r="E2469" s="7">
        <v>9.8383696416022397E-3</v>
      </c>
    </row>
    <row r="2470" spans="1:5" x14ac:dyDescent="0.3">
      <c r="A2470" t="str">
        <f>HYPERLINK("https://anilist.co/staff/121051","Staff: Carlo Zen (Original Story)")</f>
        <v>Staff: Carlo Zen (Original Story)</v>
      </c>
      <c r="B2470" s="5">
        <v>70</v>
      </c>
      <c r="C2470" s="9">
        <v>1</v>
      </c>
      <c r="D2470" s="6">
        <v>1.4054813773717499E-4</v>
      </c>
      <c r="E2470" s="7">
        <v>9.8383696416022397E-3</v>
      </c>
    </row>
    <row r="2471" spans="1:5" x14ac:dyDescent="0.3">
      <c r="A2471" t="str">
        <f>HYPERLINK("https://anilist.co/staff/121053","Staff: Shinobu Shinotsuki (Original Character Design)")</f>
        <v>Staff: Shinobu Shinotsuki (Original Character Design)</v>
      </c>
      <c r="B2471" s="5">
        <v>70</v>
      </c>
      <c r="C2471" s="9">
        <v>1</v>
      </c>
      <c r="D2471" s="6">
        <v>1.4054813773717499E-4</v>
      </c>
      <c r="E2471" s="7">
        <v>9.8383696416022397E-3</v>
      </c>
    </row>
    <row r="2472" spans="1:5" x14ac:dyDescent="0.3">
      <c r="A2472" t="str">
        <f>HYPERLINK("https://anilist.co/staff/107382","Staff: Yutaka Uemura (Director)")</f>
        <v>Staff: Yutaka Uemura (Director)</v>
      </c>
      <c r="B2472" s="5">
        <v>70</v>
      </c>
      <c r="C2472" s="9">
        <v>1</v>
      </c>
      <c r="D2472" s="6">
        <v>1.4054813773717499E-4</v>
      </c>
      <c r="E2472" s="7">
        <v>9.8383696416022397E-3</v>
      </c>
    </row>
    <row r="2473" spans="1:5" x14ac:dyDescent="0.3">
      <c r="A2473" t="str">
        <f>HYPERLINK("https://anilist.co/staff/121054","Staff: Kenta Ihara (Series Composition)")</f>
        <v>Staff: Kenta Ihara (Series Composition)</v>
      </c>
      <c r="B2473" s="5">
        <v>70</v>
      </c>
      <c r="C2473" s="9">
        <v>1</v>
      </c>
      <c r="D2473" s="6">
        <v>1.4054813773717499E-4</v>
      </c>
      <c r="E2473" s="7">
        <v>9.8383696416022397E-3</v>
      </c>
    </row>
    <row r="2474" spans="1:5" x14ac:dyDescent="0.3">
      <c r="A2474" t="str">
        <f>HYPERLINK("https://anilist.co/staff/121055","Staff: Yuuji Hosogoe (Character Design)")</f>
        <v>Staff: Yuuji Hosogoe (Character Design)</v>
      </c>
      <c r="B2474" s="5">
        <v>70</v>
      </c>
      <c r="C2474" s="9">
        <v>1</v>
      </c>
      <c r="D2474" s="6">
        <v>1.4054813773717499E-4</v>
      </c>
      <c r="E2474" s="7">
        <v>9.8383696416022397E-3</v>
      </c>
    </row>
    <row r="2475" spans="1:5" x14ac:dyDescent="0.3">
      <c r="A2475" t="str">
        <f>HYPERLINK("https://anilist.co/staff/121055","Staff: Yuuji Hosogoe (Chief Animation Director)")</f>
        <v>Staff: Yuuji Hosogoe (Chief Animation Director)</v>
      </c>
      <c r="B2475" s="5">
        <v>70</v>
      </c>
      <c r="C2475" s="9">
        <v>1</v>
      </c>
      <c r="D2475" s="6">
        <v>1.4054813773717499E-4</v>
      </c>
      <c r="E2475" s="7">
        <v>9.8383696416022397E-3</v>
      </c>
    </row>
    <row r="2476" spans="1:5" x14ac:dyDescent="0.3">
      <c r="A2476" t="str">
        <f>HYPERLINK("https://anilist.co/staff/119976","Staff: MYTH &amp; ROID (Theme Song Performance (OP))")</f>
        <v>Staff: MYTH &amp; ROID (Theme Song Performance (OP))</v>
      </c>
      <c r="B2476" s="5">
        <v>70</v>
      </c>
      <c r="C2476" s="9">
        <v>1</v>
      </c>
      <c r="D2476" s="6">
        <v>1.4054813773717499E-4</v>
      </c>
      <c r="E2476" s="7">
        <v>9.8383696416022397E-3</v>
      </c>
    </row>
    <row r="2477" spans="1:5" x14ac:dyDescent="0.3">
      <c r="A2477" t="str">
        <f>HYPERLINK("https://anilist.co/staff/101686","Staff: Aoi Yuuki (Theme Song Performance (ED1))")</f>
        <v>Staff: Aoi Yuuki (Theme Song Performance (ED1))</v>
      </c>
      <c r="B2477" s="5">
        <v>70</v>
      </c>
      <c r="C2477" s="9">
        <v>1</v>
      </c>
      <c r="D2477" s="6">
        <v>1.4054813773717499E-4</v>
      </c>
      <c r="E2477" s="7">
        <v>9.8383696416022397E-3</v>
      </c>
    </row>
    <row r="2478" spans="1:5" x14ac:dyDescent="0.3">
      <c r="A2478" t="str">
        <f>HYPERLINK("https://anilist.co/staff/121963","Staff: Keisuke Nishijima (Key Animation (ep 2))")</f>
        <v>Staff: Keisuke Nishijima (Key Animation (ep 2))</v>
      </c>
      <c r="B2478" s="5">
        <v>70</v>
      </c>
      <c r="C2478" s="9">
        <v>1</v>
      </c>
      <c r="D2478" s="6">
        <v>1.4054813773717499E-4</v>
      </c>
      <c r="E2478" s="7">
        <v>9.8383696416022397E-3</v>
      </c>
    </row>
    <row r="2479" spans="1:5" x14ac:dyDescent="0.3">
      <c r="A2479" t="str">
        <f>HYPERLINK("https://anilist.co/staff/123868","Staff: Takao Maki (Animation Director (eps 5-7, 11))")</f>
        <v>Staff: Takao Maki (Animation Director (eps 5-7, 11))</v>
      </c>
      <c r="B2479" s="5">
        <v>70</v>
      </c>
      <c r="C2479" s="9">
        <v>1</v>
      </c>
      <c r="D2479" s="6">
        <v>1.4054813773717499E-4</v>
      </c>
      <c r="E2479" s="7">
        <v>9.8383696416022397E-3</v>
      </c>
    </row>
    <row r="2480" spans="1:5" x14ac:dyDescent="0.3">
      <c r="A2480" t="str">
        <f>HYPERLINK("https://anilist.co/staff/123865","Staff: You Moriyama (Prop Design)")</f>
        <v>Staff: You Moriyama (Prop Design)</v>
      </c>
      <c r="B2480" s="5">
        <v>70</v>
      </c>
      <c r="C2480" s="9">
        <v>1</v>
      </c>
      <c r="D2480" s="6">
        <v>1.4054813773717499E-4</v>
      </c>
      <c r="E2480" s="7">
        <v>9.8383696416022397E-3</v>
      </c>
    </row>
    <row r="2481" spans="1:5" x14ac:dyDescent="0.3">
      <c r="A2481" t="str">
        <f>HYPERLINK("https://anilist.co/staff/140471","Staff: Shuji Katayama (Music)")</f>
        <v>Staff: Shuji Katayama (Music)</v>
      </c>
      <c r="B2481" s="5">
        <v>70</v>
      </c>
      <c r="C2481" s="9">
        <v>1</v>
      </c>
      <c r="D2481" s="6">
        <v>1.4054813773717499E-4</v>
      </c>
      <c r="E2481" s="7">
        <v>9.8383696416022397E-3</v>
      </c>
    </row>
    <row r="2482" spans="1:5" x14ac:dyDescent="0.3">
      <c r="A2482" t="str">
        <f>HYPERLINK("https://anilist.co/staff/181438","Staff: Juansheng Shi (Key Animation)")</f>
        <v>Staff: Juansheng Shi (Key Animation)</v>
      </c>
      <c r="B2482" s="5">
        <v>70</v>
      </c>
      <c r="C2482" s="9">
        <v>1</v>
      </c>
      <c r="D2482" s="6">
        <v>1.4054813773717499E-4</v>
      </c>
      <c r="E2482" s="7">
        <v>9.8383696416022397E-3</v>
      </c>
    </row>
    <row r="2483" spans="1:5" x14ac:dyDescent="0.3">
      <c r="A2483" t="str">
        <f>HYPERLINK("https://anilist.co/staff/252230","Staff: Mako Niina (Theme Song Performance (ED2))")</f>
        <v>Staff: Mako Niina (Theme Song Performance (ED2))</v>
      </c>
      <c r="B2483" s="5">
        <v>70</v>
      </c>
      <c r="C2483" s="9">
        <v>1</v>
      </c>
      <c r="D2483" s="6">
        <v>1.4054813773717499E-4</v>
      </c>
      <c r="E2483" s="7">
        <v>9.8383696416022397E-3</v>
      </c>
    </row>
    <row r="2484" spans="1:5" x14ac:dyDescent="0.3">
      <c r="A2484" t="str">
        <f>HYPERLINK("https://anilist.co/staff/252231","Staff: Heart's Cry (Theme Song Composition (ED2))")</f>
        <v>Staff: Heart's Cry (Theme Song Composition (ED2))</v>
      </c>
      <c r="B2484" s="5">
        <v>70</v>
      </c>
      <c r="C2484" s="9">
        <v>1</v>
      </c>
      <c r="D2484" s="6">
        <v>1.4054813773717499E-4</v>
      </c>
      <c r="E2484" s="7">
        <v>9.8383696416022397E-3</v>
      </c>
    </row>
    <row r="2485" spans="1:5" x14ac:dyDescent="0.3">
      <c r="A2485" t="str">
        <f>HYPERLINK("https://anilist.co/staff/252231","Staff: Heart's Cry (Theme Song Lyrics (ED2))")</f>
        <v>Staff: Heart's Cry (Theme Song Lyrics (ED2))</v>
      </c>
      <c r="B2485" s="5">
        <v>70</v>
      </c>
      <c r="C2485" s="9">
        <v>1</v>
      </c>
      <c r="D2485" s="6">
        <v>1.4054813773717499E-4</v>
      </c>
      <c r="E2485" s="7">
        <v>9.8383696416022397E-3</v>
      </c>
    </row>
    <row r="2486" spans="1:5" x14ac:dyDescent="0.3">
      <c r="A2486" t="str">
        <f>HYPERLINK("https://anilist.co/staff/252231","Staff: Heart's Cry (Theme Song Arrangement (ED2))")</f>
        <v>Staff: Heart's Cry (Theme Song Arrangement (ED2))</v>
      </c>
      <c r="B2486" s="5">
        <v>70</v>
      </c>
      <c r="C2486" s="9">
        <v>1</v>
      </c>
      <c r="D2486" s="6">
        <v>1.4054813773717499E-4</v>
      </c>
      <c r="E2486" s="7">
        <v>9.8383696416022397E-3</v>
      </c>
    </row>
    <row r="2487" spans="1:5" x14ac:dyDescent="0.3">
      <c r="A2487" t="str">
        <f>HYPERLINK("https://anilist.co/staff/119976","Staff: MYTH &amp; ROID (Theme Song Lyrics (OP))")</f>
        <v>Staff: MYTH &amp; ROID (Theme Song Lyrics (OP))</v>
      </c>
      <c r="B2487" s="5">
        <v>70</v>
      </c>
      <c r="C2487" s="9">
        <v>1</v>
      </c>
      <c r="D2487" s="6">
        <v>1.4054813773717499E-4</v>
      </c>
      <c r="E2487" s="7">
        <v>9.8383696416022397E-3</v>
      </c>
    </row>
    <row r="2488" spans="1:5" x14ac:dyDescent="0.3">
      <c r="A2488" t="str">
        <f>HYPERLINK("https://anilist.co/staff/119976","Staff: MYTH &amp; ROID (Theme Song Arrangement (OP))")</f>
        <v>Staff: MYTH &amp; ROID (Theme Song Arrangement (OP))</v>
      </c>
      <c r="B2488" s="5">
        <v>70</v>
      </c>
      <c r="C2488" s="9">
        <v>1</v>
      </c>
      <c r="D2488" s="6">
        <v>1.4054813773717499E-4</v>
      </c>
      <c r="E2488" s="7">
        <v>9.8383696416022397E-3</v>
      </c>
    </row>
    <row r="2489" spans="1:5" x14ac:dyDescent="0.3">
      <c r="A2489" t="str">
        <f>HYPERLINK("https://anilist.co/staff/119976","Staff: MYTH &amp; ROID (Theme Song Composition (OP))")</f>
        <v>Staff: MYTH &amp; ROID (Theme Song Composition (OP))</v>
      </c>
      <c r="B2489" s="5">
        <v>70</v>
      </c>
      <c r="C2489" s="9">
        <v>1</v>
      </c>
      <c r="D2489" s="6">
        <v>1.4054813773717499E-4</v>
      </c>
      <c r="E2489" s="7">
        <v>9.8383696416022397E-3</v>
      </c>
    </row>
    <row r="2490" spans="1:5" x14ac:dyDescent="0.3">
      <c r="A2490" t="str">
        <f>HYPERLINK("https://anilist.co/staff/252231","Staff: Heart's Cry (Insert Song Composition (ep 9))")</f>
        <v>Staff: Heart's Cry (Insert Song Composition (ep 9))</v>
      </c>
      <c r="B2490" s="5">
        <v>70</v>
      </c>
      <c r="C2490" s="9">
        <v>1</v>
      </c>
      <c r="D2490" s="6">
        <v>1.4054813773717499E-4</v>
      </c>
      <c r="E2490" s="7">
        <v>9.8383696416022397E-3</v>
      </c>
    </row>
    <row r="2491" spans="1:5" x14ac:dyDescent="0.3">
      <c r="A2491" t="str">
        <f>HYPERLINK("https://anilist.co/staff/252230","Staff: Mako Niina (Insert Song Performance (ep 9))")</f>
        <v>Staff: Mako Niina (Insert Song Performance (ep 9))</v>
      </c>
      <c r="B2491" s="5">
        <v>70</v>
      </c>
      <c r="C2491" s="9">
        <v>1</v>
      </c>
      <c r="D2491" s="6">
        <v>1.4054813773717499E-4</v>
      </c>
      <c r="E2491" s="7">
        <v>9.8383696416022397E-3</v>
      </c>
    </row>
    <row r="2492" spans="1:5" x14ac:dyDescent="0.3">
      <c r="A2492" t="str">
        <f>HYPERLINK("https://anilist.co/staff/252231","Staff: Heart's Cry (Insert Song Lyrics (ep 9))")</f>
        <v>Staff: Heart's Cry (Insert Song Lyrics (ep 9))</v>
      </c>
      <c r="B2492" s="5">
        <v>70</v>
      </c>
      <c r="C2492" s="9">
        <v>1</v>
      </c>
      <c r="D2492" s="6">
        <v>1.4054813773717499E-4</v>
      </c>
      <c r="E2492" s="7">
        <v>9.8383696416022397E-3</v>
      </c>
    </row>
    <row r="2493" spans="1:5" x14ac:dyDescent="0.3">
      <c r="A2493" t="str">
        <f>HYPERLINK("https://anilist.co/staff/252231","Staff: Heart's Cry (Insert Song Arrangement (ep 9))")</f>
        <v>Staff: Heart's Cry (Insert Song Arrangement (ep 9))</v>
      </c>
      <c r="B2493" s="5">
        <v>70</v>
      </c>
      <c r="C2493" s="9">
        <v>1</v>
      </c>
      <c r="D2493" s="6">
        <v>1.4054813773717499E-4</v>
      </c>
      <c r="E2493" s="7">
        <v>9.8383696416022397E-3</v>
      </c>
    </row>
    <row r="2494" spans="1:5" x14ac:dyDescent="0.3">
      <c r="A2494" t="s">
        <v>198</v>
      </c>
      <c r="B2494" s="5">
        <v>60</v>
      </c>
      <c r="C2494" s="9">
        <v>1</v>
      </c>
      <c r="D2494" s="6">
        <v>1.4054813773717499E-4</v>
      </c>
      <c r="E2494" s="7">
        <v>8.4328882642304998E-3</v>
      </c>
    </row>
    <row r="2495" spans="1:5" x14ac:dyDescent="0.3">
      <c r="A2495" t="s">
        <v>225</v>
      </c>
      <c r="B2495" s="5">
        <v>60</v>
      </c>
      <c r="C2495" s="9">
        <v>1</v>
      </c>
      <c r="D2495" s="6">
        <v>1.4054813773717499E-4</v>
      </c>
      <c r="E2495" s="7">
        <v>8.4328882642304998E-3</v>
      </c>
    </row>
    <row r="2496" spans="1:5" x14ac:dyDescent="0.3">
      <c r="A2496" t="s">
        <v>336</v>
      </c>
      <c r="B2496" s="5">
        <v>60</v>
      </c>
      <c r="C2496" s="9">
        <v>1</v>
      </c>
      <c r="D2496" s="6">
        <v>1.4054813773717499E-4</v>
      </c>
      <c r="E2496" s="7">
        <v>8.4328882642304998E-3</v>
      </c>
    </row>
    <row r="2497" spans="1:5" x14ac:dyDescent="0.3">
      <c r="A2497" t="s">
        <v>337</v>
      </c>
      <c r="B2497" s="5">
        <v>60</v>
      </c>
      <c r="C2497" s="9">
        <v>1</v>
      </c>
      <c r="D2497" s="6">
        <v>1.4054813773717499E-4</v>
      </c>
      <c r="E2497" s="7">
        <v>8.4328882642304998E-3</v>
      </c>
    </row>
    <row r="2498" spans="1:5" x14ac:dyDescent="0.3">
      <c r="A2498" t="s">
        <v>373</v>
      </c>
      <c r="B2498" s="5">
        <v>60</v>
      </c>
      <c r="C2498" s="9">
        <v>1</v>
      </c>
      <c r="D2498" s="6">
        <v>1.4054813773717499E-4</v>
      </c>
      <c r="E2498" s="7">
        <v>8.4328882642304998E-3</v>
      </c>
    </row>
    <row r="2499" spans="1:5" x14ac:dyDescent="0.3">
      <c r="A2499" t="s">
        <v>376</v>
      </c>
      <c r="B2499" s="5">
        <v>60</v>
      </c>
      <c r="C2499" s="9">
        <v>1</v>
      </c>
      <c r="D2499" s="6">
        <v>1.4054813773717499E-4</v>
      </c>
      <c r="E2499" s="7">
        <v>8.4328882642304998E-3</v>
      </c>
    </row>
    <row r="2500" spans="1:5" x14ac:dyDescent="0.3">
      <c r="A2500" t="s">
        <v>377</v>
      </c>
      <c r="B2500" s="5">
        <v>60</v>
      </c>
      <c r="C2500" s="9">
        <v>1</v>
      </c>
      <c r="D2500" s="6">
        <v>1.4054813773717499E-4</v>
      </c>
      <c r="E2500" s="7">
        <v>8.4328882642304998E-3</v>
      </c>
    </row>
    <row r="2501" spans="1:5" x14ac:dyDescent="0.3">
      <c r="A2501" t="s">
        <v>396</v>
      </c>
      <c r="B2501" s="5">
        <v>60</v>
      </c>
      <c r="C2501" s="9">
        <v>1</v>
      </c>
      <c r="D2501" s="6">
        <v>1.4054813773717499E-4</v>
      </c>
      <c r="E2501" s="7">
        <v>8.4328882642304998E-3</v>
      </c>
    </row>
    <row r="2502" spans="1:5" x14ac:dyDescent="0.3">
      <c r="A2502" t="s">
        <v>668</v>
      </c>
      <c r="B2502" s="5">
        <v>60</v>
      </c>
      <c r="C2502" s="9">
        <v>1</v>
      </c>
      <c r="D2502" s="6">
        <v>1.4054813773717499E-4</v>
      </c>
      <c r="E2502" s="7">
        <v>8.4328882642304998E-3</v>
      </c>
    </row>
    <row r="2503" spans="1:5" x14ac:dyDescent="0.3">
      <c r="A2503" t="s">
        <v>671</v>
      </c>
      <c r="B2503" s="5">
        <v>60</v>
      </c>
      <c r="C2503" s="9">
        <v>1</v>
      </c>
      <c r="D2503" s="6">
        <v>1.4054813773717499E-4</v>
      </c>
      <c r="E2503" s="7">
        <v>8.4328882642304998E-3</v>
      </c>
    </row>
    <row r="2504" spans="1:5" x14ac:dyDescent="0.3">
      <c r="A2504" t="s">
        <v>672</v>
      </c>
      <c r="B2504" s="5">
        <v>60</v>
      </c>
      <c r="C2504" s="9">
        <v>1</v>
      </c>
      <c r="D2504" s="6">
        <v>1.4054813773717499E-4</v>
      </c>
      <c r="E2504" s="7">
        <v>8.4328882642304998E-3</v>
      </c>
    </row>
    <row r="2505" spans="1:5" x14ac:dyDescent="0.3">
      <c r="A2505" t="s">
        <v>673</v>
      </c>
      <c r="B2505" s="5">
        <v>60</v>
      </c>
      <c r="C2505" s="9">
        <v>1</v>
      </c>
      <c r="D2505" s="6">
        <v>1.4054813773717499E-4</v>
      </c>
      <c r="E2505" s="7">
        <v>8.4328882642304998E-3</v>
      </c>
    </row>
    <row r="2506" spans="1:5" x14ac:dyDescent="0.3">
      <c r="A2506" t="s">
        <v>712</v>
      </c>
      <c r="B2506" s="5">
        <v>60</v>
      </c>
      <c r="C2506" s="9">
        <v>1</v>
      </c>
      <c r="D2506" s="6">
        <v>1.4054813773717499E-4</v>
      </c>
      <c r="E2506" s="7">
        <v>8.4328882642304998E-3</v>
      </c>
    </row>
    <row r="2507" spans="1:5" x14ac:dyDescent="0.3">
      <c r="A2507" t="s">
        <v>713</v>
      </c>
      <c r="B2507" s="5">
        <v>60</v>
      </c>
      <c r="C2507" s="9">
        <v>1</v>
      </c>
      <c r="D2507" s="6">
        <v>1.4054813773717499E-4</v>
      </c>
      <c r="E2507" s="7">
        <v>8.4328882642304998E-3</v>
      </c>
    </row>
    <row r="2508" spans="1:5" x14ac:dyDescent="0.3">
      <c r="A2508" t="s">
        <v>714</v>
      </c>
      <c r="B2508" s="5">
        <v>60</v>
      </c>
      <c r="C2508" s="9">
        <v>1</v>
      </c>
      <c r="D2508" s="6">
        <v>1.4054813773717499E-4</v>
      </c>
      <c r="E2508" s="7">
        <v>8.4328882642304998E-3</v>
      </c>
    </row>
    <row r="2509" spans="1:5" x14ac:dyDescent="0.3">
      <c r="A2509" t="s">
        <v>715</v>
      </c>
      <c r="B2509" s="5">
        <v>60</v>
      </c>
      <c r="C2509" s="9">
        <v>1</v>
      </c>
      <c r="D2509" s="6">
        <v>1.4054813773717499E-4</v>
      </c>
      <c r="E2509" s="7">
        <v>8.4328882642304998E-3</v>
      </c>
    </row>
    <row r="2510" spans="1:5" x14ac:dyDescent="0.3">
      <c r="A2510" t="s">
        <v>716</v>
      </c>
      <c r="B2510" s="5">
        <v>60</v>
      </c>
      <c r="C2510" s="9">
        <v>1</v>
      </c>
      <c r="D2510" s="6">
        <v>1.4054813773717499E-4</v>
      </c>
      <c r="E2510" s="7">
        <v>8.4328882642304998E-3</v>
      </c>
    </row>
    <row r="2511" spans="1:5" x14ac:dyDescent="0.3">
      <c r="A2511" t="s">
        <v>717</v>
      </c>
      <c r="B2511" s="5">
        <v>60</v>
      </c>
      <c r="C2511" s="9">
        <v>1</v>
      </c>
      <c r="D2511" s="6">
        <v>1.4054813773717499E-4</v>
      </c>
      <c r="E2511" s="7">
        <v>8.4328882642304998E-3</v>
      </c>
    </row>
    <row r="2512" spans="1:5" x14ac:dyDescent="0.3">
      <c r="A2512" t="s">
        <v>718</v>
      </c>
      <c r="B2512" s="5">
        <v>60</v>
      </c>
      <c r="C2512" s="9">
        <v>1</v>
      </c>
      <c r="D2512" s="6">
        <v>1.4054813773717499E-4</v>
      </c>
      <c r="E2512" s="7">
        <v>8.4328882642304998E-3</v>
      </c>
    </row>
    <row r="2513" spans="1:5" x14ac:dyDescent="0.3">
      <c r="A2513" t="s">
        <v>719</v>
      </c>
      <c r="B2513" s="5">
        <v>60</v>
      </c>
      <c r="C2513" s="9">
        <v>1</v>
      </c>
      <c r="D2513" s="6">
        <v>1.4054813773717499E-4</v>
      </c>
      <c r="E2513" s="7">
        <v>8.4328882642304998E-3</v>
      </c>
    </row>
    <row r="2514" spans="1:5" x14ac:dyDescent="0.3">
      <c r="A2514" t="s">
        <v>720</v>
      </c>
      <c r="B2514" s="5">
        <v>60</v>
      </c>
      <c r="C2514" s="9">
        <v>1</v>
      </c>
      <c r="D2514" s="6">
        <v>1.4054813773717499E-4</v>
      </c>
      <c r="E2514" s="7">
        <v>8.4328882642304998E-3</v>
      </c>
    </row>
    <row r="2515" spans="1:5" x14ac:dyDescent="0.3">
      <c r="A2515" t="s">
        <v>721</v>
      </c>
      <c r="B2515" s="5">
        <v>60</v>
      </c>
      <c r="C2515" s="9">
        <v>1</v>
      </c>
      <c r="D2515" s="6">
        <v>1.4054813773717499E-4</v>
      </c>
      <c r="E2515" s="7">
        <v>8.4328882642304998E-3</v>
      </c>
    </row>
    <row r="2516" spans="1:5" x14ac:dyDescent="0.3">
      <c r="A2516" t="s">
        <v>722</v>
      </c>
      <c r="B2516" s="5">
        <v>60</v>
      </c>
      <c r="C2516" s="9">
        <v>1</v>
      </c>
      <c r="D2516" s="6">
        <v>1.4054813773717499E-4</v>
      </c>
      <c r="E2516" s="7">
        <v>8.4328882642304998E-3</v>
      </c>
    </row>
    <row r="2517" spans="1:5" x14ac:dyDescent="0.3">
      <c r="A2517" t="s">
        <v>775</v>
      </c>
      <c r="B2517" s="5">
        <v>60</v>
      </c>
      <c r="C2517" s="9">
        <v>1</v>
      </c>
      <c r="D2517" s="6">
        <v>1.4054813773717499E-4</v>
      </c>
      <c r="E2517" s="7">
        <v>8.4328882642304998E-3</v>
      </c>
    </row>
    <row r="2518" spans="1:5" x14ac:dyDescent="0.3">
      <c r="A2518" t="s">
        <v>777</v>
      </c>
      <c r="B2518" s="5">
        <v>60</v>
      </c>
      <c r="C2518" s="9">
        <v>1</v>
      </c>
      <c r="D2518" s="6">
        <v>1.4054813773717499E-4</v>
      </c>
      <c r="E2518" s="7">
        <v>8.4328882642304998E-3</v>
      </c>
    </row>
    <row r="2519" spans="1:5" x14ac:dyDescent="0.3">
      <c r="A2519" t="s">
        <v>778</v>
      </c>
      <c r="B2519" s="5">
        <v>60</v>
      </c>
      <c r="C2519" s="9">
        <v>1</v>
      </c>
      <c r="D2519" s="6">
        <v>1.4054813773717499E-4</v>
      </c>
      <c r="E2519" s="7">
        <v>8.4328882642304998E-3</v>
      </c>
    </row>
    <row r="2520" spans="1:5" x14ac:dyDescent="0.3">
      <c r="A2520" t="s">
        <v>850</v>
      </c>
      <c r="B2520" s="5">
        <v>60</v>
      </c>
      <c r="C2520" s="9">
        <v>1</v>
      </c>
      <c r="D2520" s="6">
        <v>1.4054813773717499E-4</v>
      </c>
      <c r="E2520" s="7">
        <v>8.4328882642304998E-3</v>
      </c>
    </row>
    <row r="2521" spans="1:5" x14ac:dyDescent="0.3">
      <c r="A2521" t="s">
        <v>851</v>
      </c>
      <c r="B2521" s="5">
        <v>60</v>
      </c>
      <c r="C2521" s="9">
        <v>1</v>
      </c>
      <c r="D2521" s="6">
        <v>1.4054813773717499E-4</v>
      </c>
      <c r="E2521" s="7">
        <v>8.4328882642304998E-3</v>
      </c>
    </row>
    <row r="2522" spans="1:5" x14ac:dyDescent="0.3">
      <c r="A2522" t="s">
        <v>852</v>
      </c>
      <c r="B2522" s="5">
        <v>60</v>
      </c>
      <c r="C2522" s="9">
        <v>1</v>
      </c>
      <c r="D2522" s="6">
        <v>1.4054813773717499E-4</v>
      </c>
      <c r="E2522" s="7">
        <v>8.4328882642304998E-3</v>
      </c>
    </row>
    <row r="2523" spans="1:5" x14ac:dyDescent="0.3">
      <c r="A2523" t="s">
        <v>853</v>
      </c>
      <c r="B2523" s="5">
        <v>60</v>
      </c>
      <c r="C2523" s="9">
        <v>1</v>
      </c>
      <c r="D2523" s="6">
        <v>1.4054813773717499E-4</v>
      </c>
      <c r="E2523" s="7">
        <v>8.4328882642304998E-3</v>
      </c>
    </row>
    <row r="2524" spans="1:5" x14ac:dyDescent="0.3">
      <c r="A2524" t="s">
        <v>854</v>
      </c>
      <c r="B2524" s="5">
        <v>60</v>
      </c>
      <c r="C2524" s="9">
        <v>1</v>
      </c>
      <c r="D2524" s="6">
        <v>1.4054813773717499E-4</v>
      </c>
      <c r="E2524" s="7">
        <v>8.4328882642304998E-3</v>
      </c>
    </row>
    <row r="2525" spans="1:5" x14ac:dyDescent="0.3">
      <c r="A2525" t="s">
        <v>855</v>
      </c>
      <c r="B2525" s="5">
        <v>60</v>
      </c>
      <c r="C2525" s="9">
        <v>1</v>
      </c>
      <c r="D2525" s="6">
        <v>1.4054813773717499E-4</v>
      </c>
      <c r="E2525" s="7">
        <v>8.4328882642304998E-3</v>
      </c>
    </row>
    <row r="2526" spans="1:5" x14ac:dyDescent="0.3">
      <c r="A2526" t="s">
        <v>856</v>
      </c>
      <c r="B2526" s="5">
        <v>60</v>
      </c>
      <c r="C2526" s="9">
        <v>1</v>
      </c>
      <c r="D2526" s="6">
        <v>1.4054813773717499E-4</v>
      </c>
      <c r="E2526" s="7">
        <v>8.4328882642304998E-3</v>
      </c>
    </row>
    <row r="2527" spans="1:5" x14ac:dyDescent="0.3">
      <c r="A2527" t="s">
        <v>898</v>
      </c>
      <c r="B2527" s="5">
        <v>60</v>
      </c>
      <c r="C2527" s="9">
        <v>1</v>
      </c>
      <c r="D2527" s="6">
        <v>1.4054813773717499E-4</v>
      </c>
      <c r="E2527" s="7">
        <v>8.4328882642304998E-3</v>
      </c>
    </row>
    <row r="2528" spans="1:5" x14ac:dyDescent="0.3">
      <c r="A2528" t="s">
        <v>899</v>
      </c>
      <c r="B2528" s="5">
        <v>60</v>
      </c>
      <c r="C2528" s="9">
        <v>1</v>
      </c>
      <c r="D2528" s="6">
        <v>1.4054813773717499E-4</v>
      </c>
      <c r="E2528" s="7">
        <v>8.4328882642304998E-3</v>
      </c>
    </row>
    <row r="2529" spans="1:5" x14ac:dyDescent="0.3">
      <c r="A2529" t="s">
        <v>900</v>
      </c>
      <c r="B2529" s="5">
        <v>60</v>
      </c>
      <c r="C2529" s="9">
        <v>1</v>
      </c>
      <c r="D2529" s="6">
        <v>1.4054813773717499E-4</v>
      </c>
      <c r="E2529" s="7">
        <v>8.4328882642304998E-3</v>
      </c>
    </row>
    <row r="2530" spans="1:5" x14ac:dyDescent="0.3">
      <c r="A2530" t="s">
        <v>901</v>
      </c>
      <c r="B2530" s="5">
        <v>60</v>
      </c>
      <c r="C2530" s="9">
        <v>1</v>
      </c>
      <c r="D2530" s="6">
        <v>1.4054813773717499E-4</v>
      </c>
      <c r="E2530" s="7">
        <v>8.4328882642304998E-3</v>
      </c>
    </row>
    <row r="2531" spans="1:5" x14ac:dyDescent="0.3">
      <c r="A2531" t="s">
        <v>902</v>
      </c>
      <c r="B2531" s="5">
        <v>60</v>
      </c>
      <c r="C2531" s="9">
        <v>1</v>
      </c>
      <c r="D2531" s="6">
        <v>1.4054813773717499E-4</v>
      </c>
      <c r="E2531" s="7">
        <v>8.4328882642304998E-3</v>
      </c>
    </row>
    <row r="2532" spans="1:5" x14ac:dyDescent="0.3">
      <c r="A2532" t="s">
        <v>903</v>
      </c>
      <c r="B2532" s="5">
        <v>60</v>
      </c>
      <c r="C2532" s="9">
        <v>1</v>
      </c>
      <c r="D2532" s="6">
        <v>1.4054813773717499E-4</v>
      </c>
      <c r="E2532" s="7">
        <v>8.4328882642304998E-3</v>
      </c>
    </row>
    <row r="2533" spans="1:5" x14ac:dyDescent="0.3">
      <c r="A2533" t="s">
        <v>904</v>
      </c>
      <c r="B2533" s="5">
        <v>60</v>
      </c>
      <c r="C2533" s="9">
        <v>1</v>
      </c>
      <c r="D2533" s="6">
        <v>1.4054813773717499E-4</v>
      </c>
      <c r="E2533" s="7">
        <v>8.4328882642304998E-3</v>
      </c>
    </row>
    <row r="2534" spans="1:5" x14ac:dyDescent="0.3">
      <c r="A2534" t="s">
        <v>905</v>
      </c>
      <c r="B2534" s="5">
        <v>60</v>
      </c>
      <c r="C2534" s="9">
        <v>1</v>
      </c>
      <c r="D2534" s="6">
        <v>1.4054813773717499E-4</v>
      </c>
      <c r="E2534" s="7">
        <v>8.4328882642304998E-3</v>
      </c>
    </row>
    <row r="2535" spans="1:5" x14ac:dyDescent="0.3">
      <c r="A2535" t="s">
        <v>906</v>
      </c>
      <c r="B2535" s="5">
        <v>60</v>
      </c>
      <c r="C2535" s="9">
        <v>1</v>
      </c>
      <c r="D2535" s="6">
        <v>1.4054813773717499E-4</v>
      </c>
      <c r="E2535" s="7">
        <v>8.4328882642304998E-3</v>
      </c>
    </row>
    <row r="2536" spans="1:5" x14ac:dyDescent="0.3">
      <c r="A2536" t="s">
        <v>907</v>
      </c>
      <c r="B2536" s="5">
        <v>60</v>
      </c>
      <c r="C2536" s="9">
        <v>1</v>
      </c>
      <c r="D2536" s="6">
        <v>1.4054813773717499E-4</v>
      </c>
      <c r="E2536" s="7">
        <v>8.4328882642304998E-3</v>
      </c>
    </row>
    <row r="2537" spans="1:5" x14ac:dyDescent="0.3">
      <c r="A2537" t="str">
        <f>HYPERLINK("https://anilist.co/staff/105300","Staff: Shion Miura (Original Story)")</f>
        <v>Staff: Shion Miura (Original Story)</v>
      </c>
      <c r="B2537" s="5">
        <v>60</v>
      </c>
      <c r="C2537" s="9">
        <v>1</v>
      </c>
      <c r="D2537" s="6">
        <v>1.4054813773717499E-4</v>
      </c>
      <c r="E2537" s="7">
        <v>8.4328882642304998E-3</v>
      </c>
    </row>
    <row r="2538" spans="1:5" x14ac:dyDescent="0.3">
      <c r="A2538" t="str">
        <f>HYPERLINK("https://anilist.co/staff/104622","Staff: Haruko Kumota (Original Character Design)")</f>
        <v>Staff: Haruko Kumota (Original Character Design)</v>
      </c>
      <c r="B2538" s="5">
        <v>60</v>
      </c>
      <c r="C2538" s="9">
        <v>1</v>
      </c>
      <c r="D2538" s="6">
        <v>1.4054813773717499E-4</v>
      </c>
      <c r="E2538" s="7">
        <v>8.4328882642304998E-3</v>
      </c>
    </row>
    <row r="2539" spans="1:5" x14ac:dyDescent="0.3">
      <c r="A2539" t="str">
        <f>HYPERLINK("https://anilist.co/staff/120280","Staff: Toshimasa Kuroyanagi (Director)")</f>
        <v>Staff: Toshimasa Kuroyanagi (Director)</v>
      </c>
      <c r="B2539" s="5">
        <v>60</v>
      </c>
      <c r="C2539" s="9">
        <v>1</v>
      </c>
      <c r="D2539" s="6">
        <v>1.4054813773717499E-4</v>
      </c>
      <c r="E2539" s="7">
        <v>8.4328882642304998E-3</v>
      </c>
    </row>
    <row r="2540" spans="1:5" x14ac:dyDescent="0.3">
      <c r="A2540" t="str">
        <f>HYPERLINK("https://anilist.co/staff/104572","Staff: Takuya Satou (Series Composition)")</f>
        <v>Staff: Takuya Satou (Series Composition)</v>
      </c>
      <c r="B2540" s="5">
        <v>60</v>
      </c>
      <c r="C2540" s="9">
        <v>1</v>
      </c>
      <c r="D2540" s="6">
        <v>1.4054813773717499E-4</v>
      </c>
      <c r="E2540" s="7">
        <v>8.4328882642304998E-3</v>
      </c>
    </row>
    <row r="2541" spans="1:5" x14ac:dyDescent="0.3">
      <c r="A2541" t="str">
        <f>HYPERLINK("https://anilist.co/staff/120281","Staff: Hiroyuki Aoyama (Character Design)")</f>
        <v>Staff: Hiroyuki Aoyama (Character Design)</v>
      </c>
      <c r="B2541" s="5">
        <v>60</v>
      </c>
      <c r="C2541" s="9">
        <v>1</v>
      </c>
      <c r="D2541" s="6">
        <v>1.4054813773717499E-4</v>
      </c>
      <c r="E2541" s="7">
        <v>8.4328882642304998E-3</v>
      </c>
    </row>
    <row r="2542" spans="1:5" x14ac:dyDescent="0.3">
      <c r="A2542" t="str">
        <f>HYPERLINK("https://anilist.co/staff/120646","Staff: Yuka Hirama (Art Director)")</f>
        <v>Staff: Yuka Hirama (Art Director)</v>
      </c>
      <c r="B2542" s="5">
        <v>60</v>
      </c>
      <c r="C2542" s="9">
        <v>1</v>
      </c>
      <c r="D2542" s="6">
        <v>1.4054813773717499E-4</v>
      </c>
      <c r="E2542" s="7">
        <v>8.4328882642304998E-3</v>
      </c>
    </row>
    <row r="2543" spans="1:5" x14ac:dyDescent="0.3">
      <c r="A2543" t="str">
        <f>HYPERLINK("https://anilist.co/staff/102193","Staff: Hiroki Matsumoto (Background Art (eps 1-2))")</f>
        <v>Staff: Hiroki Matsumoto (Background Art (eps 1-2))</v>
      </c>
      <c r="B2543" s="5">
        <v>60</v>
      </c>
      <c r="C2543" s="9">
        <v>1</v>
      </c>
      <c r="D2543" s="6">
        <v>1.4054813773717499E-4</v>
      </c>
      <c r="E2543" s="7">
        <v>8.4328882642304998E-3</v>
      </c>
    </row>
    <row r="2544" spans="1:5" x14ac:dyDescent="0.3">
      <c r="A2544" t="str">
        <f>HYPERLINK("https://anilist.co/staff/121678","Staff: Takayuki Noguchi (Animation Director (ep 1))")</f>
        <v>Staff: Takayuki Noguchi (Animation Director (ep 1))</v>
      </c>
      <c r="B2544" s="5">
        <v>60</v>
      </c>
      <c r="C2544" s="9">
        <v>1</v>
      </c>
      <c r="D2544" s="6">
        <v>1.4054813773717499E-4</v>
      </c>
      <c r="E2544" s="7">
        <v>8.4328882642304998E-3</v>
      </c>
    </row>
    <row r="2545" spans="1:5" x14ac:dyDescent="0.3">
      <c r="A2545" t="str">
        <f>HYPERLINK("https://anilist.co/staff/131806","Staff: Taiiku Okazaki (Theme Song Performance (OP))")</f>
        <v>Staff: Taiiku Okazaki (Theme Song Performance (OP))</v>
      </c>
      <c r="B2545" s="5">
        <v>60</v>
      </c>
      <c r="C2545" s="9">
        <v>1</v>
      </c>
      <c r="D2545" s="6">
        <v>1.4054813773717499E-4</v>
      </c>
      <c r="E2545" s="7">
        <v>8.4328882642304998E-3</v>
      </c>
    </row>
    <row r="2546" spans="1:5" x14ac:dyDescent="0.3">
      <c r="A2546" t="str">
        <f>HYPERLINK("https://anilist.co/staff/131806","Staff: Taiiku Okazaki (Theme Song Composition (OP))")</f>
        <v>Staff: Taiiku Okazaki (Theme Song Composition (OP))</v>
      </c>
      <c r="B2546" s="5">
        <v>60</v>
      </c>
      <c r="C2546" s="9">
        <v>1</v>
      </c>
      <c r="D2546" s="6">
        <v>1.4054813773717499E-4</v>
      </c>
      <c r="E2546" s="7">
        <v>8.4328882642304998E-3</v>
      </c>
    </row>
    <row r="2547" spans="1:5" x14ac:dyDescent="0.3">
      <c r="A2547" t="str">
        <f>HYPERLINK("https://anilist.co/staff/131806","Staff: Taiiku Okazaki (Theme Song Arrangement (OP))")</f>
        <v>Staff: Taiiku Okazaki (Theme Song Arrangement (OP))</v>
      </c>
      <c r="B2547" s="5">
        <v>60</v>
      </c>
      <c r="C2547" s="9">
        <v>1</v>
      </c>
      <c r="D2547" s="6">
        <v>1.4054813773717499E-4</v>
      </c>
      <c r="E2547" s="7">
        <v>8.4328882642304998E-3</v>
      </c>
    </row>
    <row r="2548" spans="1:5" x14ac:dyDescent="0.3">
      <c r="A2548" t="str">
        <f>HYPERLINK("https://anilist.co/staff/131806","Staff: Taiiku Okazaki (Theme Song Lyrics (OP))")</f>
        <v>Staff: Taiiku Okazaki (Theme Song Lyrics (OP))</v>
      </c>
      <c r="B2548" s="5">
        <v>60</v>
      </c>
      <c r="C2548" s="9">
        <v>1</v>
      </c>
      <c r="D2548" s="6">
        <v>1.4054813773717499E-4</v>
      </c>
      <c r="E2548" s="7">
        <v>8.4328882642304998E-3</v>
      </c>
    </row>
    <row r="2549" spans="1:5" x14ac:dyDescent="0.3">
      <c r="A2549" t="str">
        <f>HYPERLINK("https://anilist.co/staff/171938","Staff: Yuri Sugano (Theme Song Performance (ED))")</f>
        <v>Staff: Yuri Sugano (Theme Song Performance (ED))</v>
      </c>
      <c r="B2549" s="5">
        <v>60</v>
      </c>
      <c r="C2549" s="9">
        <v>1</v>
      </c>
      <c r="D2549" s="6">
        <v>1.4054813773717499E-4</v>
      </c>
      <c r="E2549" s="7">
        <v>8.4328882642304998E-3</v>
      </c>
    </row>
    <row r="2550" spans="1:5" x14ac:dyDescent="0.3">
      <c r="A2550" t="str">
        <f>HYPERLINK("https://anilist.co/staff/160844","Staff: Akiko Watanabe (Theme Song Lyrics (ED))")</f>
        <v>Staff: Akiko Watanabe (Theme Song Lyrics (ED))</v>
      </c>
      <c r="B2550" s="5">
        <v>60</v>
      </c>
      <c r="C2550" s="9">
        <v>1</v>
      </c>
      <c r="D2550" s="6">
        <v>1.4054813773717499E-4</v>
      </c>
      <c r="E2550" s="7">
        <v>8.4328882642304998E-3</v>
      </c>
    </row>
    <row r="2551" spans="1:5" x14ac:dyDescent="0.3">
      <c r="A2551" t="str">
        <f>HYPERLINK("https://anilist.co/staff/171938","Staff: Yuri Sugano (Theme Song Lyrics (ED))")</f>
        <v>Staff: Yuri Sugano (Theme Song Lyrics (ED))</v>
      </c>
      <c r="B2551" s="5">
        <v>60</v>
      </c>
      <c r="C2551" s="9">
        <v>1</v>
      </c>
      <c r="D2551" s="6">
        <v>1.4054813773717499E-4</v>
      </c>
      <c r="E2551" s="7">
        <v>8.4328882642304998E-3</v>
      </c>
    </row>
    <row r="2552" spans="1:5" x14ac:dyDescent="0.3">
      <c r="A2552" t="str">
        <f>HYPERLINK("https://anilist.co/staff/171940","Staff: Manabu Takada (Theme Song Arrangement (ED))")</f>
        <v>Staff: Manabu Takada (Theme Song Arrangement (ED))</v>
      </c>
      <c r="B2552" s="5">
        <v>60</v>
      </c>
      <c r="C2552" s="9">
        <v>1</v>
      </c>
      <c r="D2552" s="6">
        <v>1.4054813773717499E-4</v>
      </c>
      <c r="E2552" s="7">
        <v>8.4328882642304998E-3</v>
      </c>
    </row>
    <row r="2553" spans="1:5" x14ac:dyDescent="0.3">
      <c r="A2553" t="str">
        <f>HYPERLINK("https://anilist.co/staff/171941","Staff: Misako Sakazume (Theme Song Composition (ED))")</f>
        <v>Staff: Misako Sakazume (Theme Song Composition (ED))</v>
      </c>
      <c r="B2553" s="5">
        <v>60</v>
      </c>
      <c r="C2553" s="9">
        <v>1</v>
      </c>
      <c r="D2553" s="6">
        <v>1.4054813773717499E-4</v>
      </c>
      <c r="E2553" s="7">
        <v>8.4328882642304998E-3</v>
      </c>
    </row>
    <row r="2554" spans="1:5" x14ac:dyDescent="0.3">
      <c r="A2554" t="s">
        <v>1008</v>
      </c>
      <c r="B2554" s="5">
        <v>60</v>
      </c>
      <c r="C2554" s="9">
        <v>1</v>
      </c>
      <c r="D2554" s="6">
        <v>1.4054813773717499E-4</v>
      </c>
      <c r="E2554" s="7">
        <v>8.4328882642304998E-3</v>
      </c>
    </row>
    <row r="2555" spans="1:5" x14ac:dyDescent="0.3">
      <c r="A2555" t="s">
        <v>1009</v>
      </c>
      <c r="B2555" s="5">
        <v>60</v>
      </c>
      <c r="C2555" s="9">
        <v>1</v>
      </c>
      <c r="D2555" s="6">
        <v>1.4054813773717499E-4</v>
      </c>
      <c r="E2555" s="7">
        <v>8.4328882642304998E-3</v>
      </c>
    </row>
    <row r="2556" spans="1:5" x14ac:dyDescent="0.3">
      <c r="A2556" t="s">
        <v>1010</v>
      </c>
      <c r="B2556" s="5">
        <v>60</v>
      </c>
      <c r="C2556" s="9">
        <v>1</v>
      </c>
      <c r="D2556" s="6">
        <v>1.4054813773717499E-4</v>
      </c>
      <c r="E2556" s="7">
        <v>8.4328882642304998E-3</v>
      </c>
    </row>
    <row r="2557" spans="1:5" x14ac:dyDescent="0.3">
      <c r="A2557" t="s">
        <v>1011</v>
      </c>
      <c r="B2557" s="5">
        <v>60</v>
      </c>
      <c r="C2557" s="9">
        <v>1</v>
      </c>
      <c r="D2557" s="6">
        <v>1.4054813773717499E-4</v>
      </c>
      <c r="E2557" s="7">
        <v>8.4328882642304998E-3</v>
      </c>
    </row>
    <row r="2558" spans="1:5" x14ac:dyDescent="0.3">
      <c r="A2558" t="s">
        <v>1012</v>
      </c>
      <c r="B2558" s="5">
        <v>60</v>
      </c>
      <c r="C2558" s="9">
        <v>1</v>
      </c>
      <c r="D2558" s="6">
        <v>1.4054813773717499E-4</v>
      </c>
      <c r="E2558" s="7">
        <v>8.4328882642304998E-3</v>
      </c>
    </row>
    <row r="2559" spans="1:5" x14ac:dyDescent="0.3">
      <c r="A2559" t="s">
        <v>1013</v>
      </c>
      <c r="B2559" s="5">
        <v>60</v>
      </c>
      <c r="C2559" s="9">
        <v>1</v>
      </c>
      <c r="D2559" s="6">
        <v>1.4054813773717499E-4</v>
      </c>
      <c r="E2559" s="7">
        <v>8.4328882642304998E-3</v>
      </c>
    </row>
    <row r="2560" spans="1:5" x14ac:dyDescent="0.3">
      <c r="A2560" t="str">
        <f>HYPERLINK("https://anilist.co/staff/102265","Staff: Ryou Mizuno (Original Story)")</f>
        <v>Staff: Ryou Mizuno (Original Story)</v>
      </c>
      <c r="B2560" s="5">
        <v>60</v>
      </c>
      <c r="C2560" s="9">
        <v>1</v>
      </c>
      <c r="D2560" s="6">
        <v>1.4054813773717499E-4</v>
      </c>
      <c r="E2560" s="7">
        <v>8.4328882642304998E-3</v>
      </c>
    </row>
    <row r="2561" spans="1:5" x14ac:dyDescent="0.3">
      <c r="A2561" t="str">
        <f>HYPERLINK("https://anilist.co/staff/100221","Staff: Miyuu  (Original Character Design)")</f>
        <v>Staff: Miyuu  (Original Character Design)</v>
      </c>
      <c r="B2561" s="5">
        <v>60</v>
      </c>
      <c r="C2561" s="9">
        <v>1</v>
      </c>
      <c r="D2561" s="6">
        <v>1.4054813773717499E-4</v>
      </c>
      <c r="E2561" s="7">
        <v>8.4328882642304998E-3</v>
      </c>
    </row>
    <row r="2562" spans="1:5" x14ac:dyDescent="0.3">
      <c r="A2562" t="str">
        <f>HYPERLINK("https://anilist.co/staff/119879","Staff: Mashiro Ayano (Theme Song Performance (OP1, ED2))")</f>
        <v>Staff: Mashiro Ayano (Theme Song Performance (OP1, ED2))</v>
      </c>
      <c r="B2562" s="5">
        <v>60</v>
      </c>
      <c r="C2562" s="9">
        <v>1</v>
      </c>
      <c r="D2562" s="6">
        <v>1.4054813773717499E-4</v>
      </c>
      <c r="E2562" s="7">
        <v>8.4328882642304998E-3</v>
      </c>
    </row>
    <row r="2563" spans="1:5" x14ac:dyDescent="0.3">
      <c r="A2563" t="str">
        <f>HYPERLINK("https://anilist.co/staff/123402","Staff: ASCA  (Theme Song Performance (OP2, ED1))")</f>
        <v>Staff: ASCA  (Theme Song Performance (OP2, ED1))</v>
      </c>
      <c r="B2563" s="5">
        <v>60</v>
      </c>
      <c r="C2563" s="9">
        <v>1</v>
      </c>
      <c r="D2563" s="6">
        <v>1.4054813773717499E-4</v>
      </c>
      <c r="E2563" s="7">
        <v>8.4328882642304998E-3</v>
      </c>
    </row>
    <row r="2564" spans="1:5" x14ac:dyDescent="0.3">
      <c r="A2564" t="str">
        <f>HYPERLINK("https://anilist.co/staff/128073","Staff: Tsubasa Itou (Theme Song Arrangement (OP1))")</f>
        <v>Staff: Tsubasa Itou (Theme Song Arrangement (OP1))</v>
      </c>
      <c r="B2564" s="5">
        <v>60</v>
      </c>
      <c r="C2564" s="9">
        <v>1</v>
      </c>
      <c r="D2564" s="6">
        <v>1.4054813773717499E-4</v>
      </c>
      <c r="E2564" s="7">
        <v>8.4328882642304998E-3</v>
      </c>
    </row>
    <row r="2565" spans="1:5" x14ac:dyDescent="0.3">
      <c r="A2565" t="str">
        <f>HYPERLINK("https://anilist.co/staff/111583","Staff: Shinichi Omata (Director)")</f>
        <v>Staff: Shinichi Omata (Director)</v>
      </c>
      <c r="B2565" s="5">
        <v>60</v>
      </c>
      <c r="C2565" s="9">
        <v>1</v>
      </c>
      <c r="D2565" s="6">
        <v>1.4054813773717499E-4</v>
      </c>
      <c r="E2565" s="7">
        <v>8.4328882642304998E-3</v>
      </c>
    </row>
    <row r="2566" spans="1:5" x14ac:dyDescent="0.3">
      <c r="A2566" t="str">
        <f>HYPERLINK("https://anilist.co/staff/102265","Staff: Ryou Mizuno (Series Composition)")</f>
        <v>Staff: Ryou Mizuno (Series Composition)</v>
      </c>
      <c r="B2566" s="5">
        <v>60</v>
      </c>
      <c r="C2566" s="9">
        <v>1</v>
      </c>
      <c r="D2566" s="6">
        <v>1.4054813773717499E-4</v>
      </c>
      <c r="E2566" s="7">
        <v>8.4328882642304998E-3</v>
      </c>
    </row>
    <row r="2567" spans="1:5" x14ac:dyDescent="0.3">
      <c r="A2567" t="str">
        <f>HYPERLINK("https://anilist.co/staff/127370","Staff: Yuuko Yahiro (Sub Character Design)")</f>
        <v>Staff: Yuuko Yahiro (Sub Character Design)</v>
      </c>
      <c r="B2567" s="5">
        <v>60</v>
      </c>
      <c r="C2567" s="9">
        <v>1</v>
      </c>
      <c r="D2567" s="6">
        <v>1.4054813773717499E-4</v>
      </c>
      <c r="E2567" s="7">
        <v>8.4328882642304998E-3</v>
      </c>
    </row>
    <row r="2568" spans="1:5" x14ac:dyDescent="0.3">
      <c r="A2568" t="str">
        <f>HYPERLINK("https://anilist.co/staff/110897","Staff: Hiroyuki Taiga (Creature Design)")</f>
        <v>Staff: Hiroyuki Taiga (Creature Design)</v>
      </c>
      <c r="B2568" s="5">
        <v>60</v>
      </c>
      <c r="C2568" s="9">
        <v>1</v>
      </c>
      <c r="D2568" s="6">
        <v>1.4054813773717499E-4</v>
      </c>
      <c r="E2568" s="7">
        <v>8.4328882642304998E-3</v>
      </c>
    </row>
    <row r="2569" spans="1:5" x14ac:dyDescent="0.3">
      <c r="A2569" t="str">
        <f>HYPERLINK("https://anilist.co/staff/123993","Staff: Hiroshi Yakou (Chief Animation Director (eps 1, 4, 5, 8, 9, 12-16, 18-22, 24))")</f>
        <v>Staff: Hiroshi Yakou (Chief Animation Director (eps 1, 4, 5, 8, 9, 12-16, 18-22, 24))</v>
      </c>
      <c r="B2569" s="5">
        <v>60</v>
      </c>
      <c r="C2569" s="9">
        <v>1</v>
      </c>
      <c r="D2569" s="6">
        <v>1.4054813773717499E-4</v>
      </c>
      <c r="E2569" s="7">
        <v>8.4328882642304998E-3</v>
      </c>
    </row>
    <row r="2570" spans="1:5" x14ac:dyDescent="0.3">
      <c r="A2570" t="str">
        <f>HYPERLINK("https://anilist.co/staff/131189","Staff: Kazunori Ozawa (Action Director (ep 13))")</f>
        <v>Staff: Kazunori Ozawa (Action Director (ep 13))</v>
      </c>
      <c r="B2570" s="5">
        <v>60</v>
      </c>
      <c r="C2570" s="9">
        <v>1</v>
      </c>
      <c r="D2570" s="6">
        <v>1.4054813773717499E-4</v>
      </c>
      <c r="E2570" s="7">
        <v>8.4328882642304998E-3</v>
      </c>
    </row>
    <row r="2571" spans="1:5" x14ac:dyDescent="0.3">
      <c r="A2571" t="str">
        <f>HYPERLINK("https://anilist.co/staff/190494","Staff: Keisuke Furuichi (Action Director (eps 1, 5, 10, 15, 20))")</f>
        <v>Staff: Keisuke Furuichi (Action Director (eps 1, 5, 10, 15, 20))</v>
      </c>
      <c r="B2571" s="5">
        <v>60</v>
      </c>
      <c r="C2571" s="9">
        <v>1</v>
      </c>
      <c r="D2571" s="6">
        <v>1.4054813773717499E-4</v>
      </c>
      <c r="E2571" s="7">
        <v>8.4328882642304998E-3</v>
      </c>
    </row>
    <row r="2572" spans="1:5" x14ac:dyDescent="0.3">
      <c r="A2572" t="str">
        <f>HYPERLINK("https://anilist.co/staff/175169","Staff: Ryou Kujirai (Director of Photography)")</f>
        <v>Staff: Ryou Kujirai (Director of Photography)</v>
      </c>
      <c r="B2572" s="5">
        <v>60</v>
      </c>
      <c r="C2572" s="9">
        <v>1</v>
      </c>
      <c r="D2572" s="6">
        <v>1.4054813773717499E-4</v>
      </c>
      <c r="E2572" s="7">
        <v>8.4328882642304998E-3</v>
      </c>
    </row>
    <row r="2573" spans="1:5" x14ac:dyDescent="0.3">
      <c r="A2573" t="str">
        <f>HYPERLINK("https://anilist.co/staff/153776","Staff: Yasuhiro Nakajima (Producer)")</f>
        <v>Staff: Yasuhiro Nakajima (Producer)</v>
      </c>
      <c r="B2573" s="5">
        <v>60</v>
      </c>
      <c r="C2573" s="9">
        <v>1</v>
      </c>
      <c r="D2573" s="6">
        <v>1.4054813773717499E-4</v>
      </c>
      <c r="E2573" s="7">
        <v>8.4328882642304998E-3</v>
      </c>
    </row>
    <row r="2574" spans="1:5" x14ac:dyDescent="0.3">
      <c r="A2574" t="str">
        <f>HYPERLINK("https://anilist.co/staff/138755","Staff: Muneo Nakamoto  (Script (eps 1, 3, 9, 10, 15-17, 19, 21-24))")</f>
        <v>Staff: Muneo Nakamoto  (Script (eps 1, 3, 9, 10, 15-17, 19, 21-24))</v>
      </c>
      <c r="B2574" s="5">
        <v>60</v>
      </c>
      <c r="C2574" s="9">
        <v>1</v>
      </c>
      <c r="D2574" s="6">
        <v>1.4054813773717499E-4</v>
      </c>
      <c r="E2574" s="7">
        <v>8.4328882642304998E-3</v>
      </c>
    </row>
    <row r="2575" spans="1:5" x14ac:dyDescent="0.3">
      <c r="A2575" t="str">
        <f>HYPERLINK("https://anilist.co/staff/142325","Staff: Tomoyuki Oowada (Producer)")</f>
        <v>Staff: Tomoyuki Oowada (Producer)</v>
      </c>
      <c r="B2575" s="5">
        <v>60</v>
      </c>
      <c r="C2575" s="9">
        <v>1</v>
      </c>
      <c r="D2575" s="6">
        <v>1.4054813773717499E-4</v>
      </c>
      <c r="E2575" s="7">
        <v>8.4328882642304998E-3</v>
      </c>
    </row>
    <row r="2576" spans="1:5" x14ac:dyDescent="0.3">
      <c r="A2576" t="str">
        <f>HYPERLINK("https://anilist.co/staff/125206","Staff: Shunsaku Yano (Series Composition)")</f>
        <v>Staff: Shunsaku Yano (Series Composition)</v>
      </c>
      <c r="B2576" s="5">
        <v>60</v>
      </c>
      <c r="C2576" s="9">
        <v>1</v>
      </c>
      <c r="D2576" s="6">
        <v>1.4054813773717499E-4</v>
      </c>
      <c r="E2576" s="7">
        <v>8.4328882642304998E-3</v>
      </c>
    </row>
    <row r="2577" spans="1:5" x14ac:dyDescent="0.3">
      <c r="A2577" t="str">
        <f>HYPERLINK("https://anilist.co/staff/164830","Staff: Takayuki Kidou (Prop Design)")</f>
        <v>Staff: Takayuki Kidou (Prop Design)</v>
      </c>
      <c r="B2577" s="5">
        <v>60</v>
      </c>
      <c r="C2577" s="9">
        <v>1</v>
      </c>
      <c r="D2577" s="6">
        <v>1.4054813773717499E-4</v>
      </c>
      <c r="E2577" s="7">
        <v>8.4328882642304998E-3</v>
      </c>
    </row>
    <row r="2578" spans="1:5" x14ac:dyDescent="0.3">
      <c r="A2578" t="str">
        <f>HYPERLINK("https://anilist.co/staff/146251","Staff: Shinobu Nishioka (Action Director (eps 2, 3, 9, 12, 14))")</f>
        <v>Staff: Shinobu Nishioka (Action Director (eps 2, 3, 9, 12, 14))</v>
      </c>
      <c r="B2578" s="5">
        <v>60</v>
      </c>
      <c r="C2578" s="9">
        <v>1</v>
      </c>
      <c r="D2578" s="6">
        <v>1.4054813773717499E-4</v>
      </c>
      <c r="E2578" s="7">
        <v>8.4328882642304998E-3</v>
      </c>
    </row>
    <row r="2579" spans="1:5" x14ac:dyDescent="0.3">
      <c r="A2579" t="str">
        <f>HYPERLINK("https://anilist.co/staff/128825","Staff: Kenichi Morioka (Design Works)")</f>
        <v>Staff: Kenichi Morioka (Design Works)</v>
      </c>
      <c r="B2579" s="5">
        <v>60</v>
      </c>
      <c r="C2579" s="9">
        <v>1</v>
      </c>
      <c r="D2579" s="6">
        <v>1.4054813773717499E-4</v>
      </c>
      <c r="E2579" s="7">
        <v>8.4328882642304998E-3</v>
      </c>
    </row>
    <row r="2580" spans="1:5" x14ac:dyDescent="0.3">
      <c r="A2580" t="str">
        <f>HYPERLINK("https://anilist.co/staff/147538","Staff: Hitomi Sano (Color Design)")</f>
        <v>Staff: Hitomi Sano (Color Design)</v>
      </c>
      <c r="B2580" s="5">
        <v>60</v>
      </c>
      <c r="C2580" s="9">
        <v>1</v>
      </c>
      <c r="D2580" s="6">
        <v>1.4054813773717499E-4</v>
      </c>
      <c r="E2580" s="7">
        <v>8.4328882642304998E-3</v>
      </c>
    </row>
    <row r="2581" spans="1:5" x14ac:dyDescent="0.3">
      <c r="A2581" t="str">
        <f>HYPERLINK("https://anilist.co/staff/190494","Staff: Keisuke Furuichi (Action Animation Director (eps 1-24))")</f>
        <v>Staff: Keisuke Furuichi (Action Animation Director (eps 1-24))</v>
      </c>
      <c r="B2581" s="5">
        <v>60</v>
      </c>
      <c r="C2581" s="9">
        <v>1</v>
      </c>
      <c r="D2581" s="6">
        <v>1.4054813773717499E-4</v>
      </c>
      <c r="E2581" s="7">
        <v>8.4328882642304998E-3</v>
      </c>
    </row>
    <row r="2582" spans="1:5" x14ac:dyDescent="0.3">
      <c r="A2582" t="str">
        <f>HYPERLINK("https://anilist.co/staff/137947","Staff: Takashi Torii (Main Animator)")</f>
        <v>Staff: Takashi Torii (Main Animator)</v>
      </c>
      <c r="B2582" s="5">
        <v>60</v>
      </c>
      <c r="C2582" s="9">
        <v>1</v>
      </c>
      <c r="D2582" s="6">
        <v>1.4054813773717499E-4</v>
      </c>
      <c r="E2582" s="7">
        <v>8.4328882642304998E-3</v>
      </c>
    </row>
    <row r="2583" spans="1:5" x14ac:dyDescent="0.3">
      <c r="A2583" t="str">
        <f>HYPERLINK("https://anilist.co/staff/127370","Staff: Yuuko Yahiro (Chief Animation Director (eps 2, 3, 6, 7, 10, 21))")</f>
        <v>Staff: Yuuko Yahiro (Chief Animation Director (eps 2, 3, 6, 7, 10, 21))</v>
      </c>
      <c r="B2583" s="5">
        <v>60</v>
      </c>
      <c r="C2583" s="9">
        <v>1</v>
      </c>
      <c r="D2583" s="6">
        <v>1.4054813773717499E-4</v>
      </c>
      <c r="E2583" s="7">
        <v>8.4328882642304998E-3</v>
      </c>
    </row>
    <row r="2584" spans="1:5" x14ac:dyDescent="0.3">
      <c r="A2584" t="str">
        <f>HYPERLINK("https://anilist.co/staff/97347","Staff: Jun Maeda (Original Creator)")</f>
        <v>Staff: Jun Maeda (Original Creator)</v>
      </c>
      <c r="B2584" s="5">
        <v>60</v>
      </c>
      <c r="C2584" s="9">
        <v>1</v>
      </c>
      <c r="D2584" s="6">
        <v>1.4054813773717499E-4</v>
      </c>
      <c r="E2584" s="7">
        <v>8.4328882642304998E-3</v>
      </c>
    </row>
    <row r="2585" spans="1:5" x14ac:dyDescent="0.3">
      <c r="A2585" t="str">
        <f>HYPERLINK("https://anilist.co/staff/102754","Staff:  Na-Ga (Original Character Design)")</f>
        <v>Staff:  Na-Ga (Original Character Design)</v>
      </c>
      <c r="B2585" s="5">
        <v>60</v>
      </c>
      <c r="C2585" s="9">
        <v>1</v>
      </c>
      <c r="D2585" s="6">
        <v>1.4054813773717499E-4</v>
      </c>
      <c r="E2585" s="7">
        <v>8.4328882642304998E-3</v>
      </c>
    </row>
    <row r="2586" spans="1:5" x14ac:dyDescent="0.3">
      <c r="A2586" t="str">
        <f>HYPERLINK("https://anilist.co/staff/97347","Staff: Jun Maeda (Script)")</f>
        <v>Staff: Jun Maeda (Script)</v>
      </c>
      <c r="B2586" s="5">
        <v>60</v>
      </c>
      <c r="C2586" s="9">
        <v>1</v>
      </c>
      <c r="D2586" s="6">
        <v>1.4054813773717499E-4</v>
      </c>
      <c r="E2586" s="7">
        <v>8.4328882642304998E-3</v>
      </c>
    </row>
    <row r="2587" spans="1:5" x14ac:dyDescent="0.3">
      <c r="A2587" t="str">
        <f>HYPERLINK("https://anilist.co/staff/120921","Staff: Yoshiyuki Asai (Director)")</f>
        <v>Staff: Yoshiyuki Asai (Director)</v>
      </c>
      <c r="B2587" s="5">
        <v>60</v>
      </c>
      <c r="C2587" s="9">
        <v>1</v>
      </c>
      <c r="D2587" s="6">
        <v>1.4054813773717499E-4</v>
      </c>
      <c r="E2587" s="7">
        <v>8.4328882642304998E-3</v>
      </c>
    </row>
    <row r="2588" spans="1:5" x14ac:dyDescent="0.3">
      <c r="A2588" t="str">
        <f>HYPERLINK("https://anilist.co/staff/148680","Staff: Manabu Nii (Chief Animation Director)")</f>
        <v>Staff: Manabu Nii (Chief Animation Director)</v>
      </c>
      <c r="B2588" s="5">
        <v>60</v>
      </c>
      <c r="C2588" s="9">
        <v>1</v>
      </c>
      <c r="D2588" s="6">
        <v>1.4054813773717499E-4</v>
      </c>
      <c r="E2588" s="7">
        <v>8.4328882642304998E-3</v>
      </c>
    </row>
    <row r="2589" spans="1:5" x14ac:dyDescent="0.3">
      <c r="A2589" t="str">
        <f>HYPERLINK("https://anilist.co/staff/148680","Staff: Manabu Nii (Character Design)")</f>
        <v>Staff: Manabu Nii (Character Design)</v>
      </c>
      <c r="B2589" s="5">
        <v>60</v>
      </c>
      <c r="C2589" s="9">
        <v>1</v>
      </c>
      <c r="D2589" s="6">
        <v>1.4054813773717499E-4</v>
      </c>
      <c r="E2589" s="7">
        <v>8.4328882642304998E-3</v>
      </c>
    </row>
    <row r="2590" spans="1:5" x14ac:dyDescent="0.3">
      <c r="A2590" t="str">
        <f>HYPERLINK("https://anilist.co/staff/153557","Staff: Yukiyo Kajiwara (Director of Photography)")</f>
        <v>Staff: Yukiyo Kajiwara (Director of Photography)</v>
      </c>
      <c r="B2590" s="5">
        <v>60</v>
      </c>
      <c r="C2590" s="9">
        <v>1</v>
      </c>
      <c r="D2590" s="6">
        <v>1.4054813773717499E-4</v>
      </c>
      <c r="E2590" s="7">
        <v>8.4328882642304998E-3</v>
      </c>
    </row>
    <row r="2591" spans="1:5" x14ac:dyDescent="0.3">
      <c r="A2591" t="str">
        <f>HYPERLINK("https://anilist.co/staff/128663","Staff: Kurumi Suzuki (Art Director)")</f>
        <v>Staff: Kurumi Suzuki (Art Director)</v>
      </c>
      <c r="B2591" s="5">
        <v>60</v>
      </c>
      <c r="C2591" s="9">
        <v>1</v>
      </c>
      <c r="D2591" s="6">
        <v>1.4054813773717499E-4</v>
      </c>
      <c r="E2591" s="7">
        <v>8.4328882642304998E-3</v>
      </c>
    </row>
    <row r="2592" spans="1:5" x14ac:dyDescent="0.3">
      <c r="A2592" t="str">
        <f>HYPERLINK("https://anilist.co/staff/128665","Staff: Naomi Nakano (Color Design)")</f>
        <v>Staff: Naomi Nakano (Color Design)</v>
      </c>
      <c r="B2592" s="5">
        <v>60</v>
      </c>
      <c r="C2592" s="9">
        <v>1</v>
      </c>
      <c r="D2592" s="6">
        <v>1.4054813773717499E-4</v>
      </c>
      <c r="E2592" s="7">
        <v>8.4328882642304998E-3</v>
      </c>
    </row>
    <row r="2593" spans="1:5" x14ac:dyDescent="0.3">
      <c r="A2593" t="str">
        <f>HYPERLINK("https://anilist.co/staff/146865","Staff: Ayumu Takahashi (Editing)")</f>
        <v>Staff: Ayumu Takahashi (Editing)</v>
      </c>
      <c r="B2593" s="5">
        <v>60</v>
      </c>
      <c r="C2593" s="9">
        <v>1</v>
      </c>
      <c r="D2593" s="6">
        <v>1.4054813773717499E-4</v>
      </c>
      <c r="E2593" s="7">
        <v>8.4328882642304998E-3</v>
      </c>
    </row>
    <row r="2594" spans="1:5" x14ac:dyDescent="0.3">
      <c r="A2594" t="str">
        <f>HYPERLINK("https://anilist.co/staff/182538","Staff: Haruki Suzuki (CG Director)")</f>
        <v>Staff: Haruki Suzuki (CG Director)</v>
      </c>
      <c r="B2594" s="5">
        <v>60</v>
      </c>
      <c r="C2594" s="9">
        <v>1</v>
      </c>
      <c r="D2594" s="6">
        <v>1.4054813773717499E-4</v>
      </c>
      <c r="E2594" s="7">
        <v>8.4328882642304998E-3</v>
      </c>
    </row>
    <row r="2595" spans="1:5" x14ac:dyDescent="0.3">
      <c r="A2595" t="str">
        <f>HYPERLINK("https://anilist.co/staff/182539","Staff: Tomomi Teratani (Music)")</f>
        <v>Staff: Tomomi Teratani (Music)</v>
      </c>
      <c r="B2595" s="5">
        <v>60</v>
      </c>
      <c r="C2595" s="9">
        <v>1</v>
      </c>
      <c r="D2595" s="6">
        <v>1.4054813773717499E-4</v>
      </c>
      <c r="E2595" s="7">
        <v>8.4328882642304998E-3</v>
      </c>
    </row>
    <row r="2596" spans="1:5" x14ac:dyDescent="0.3">
      <c r="A2596" t="str">
        <f>HYPERLINK("https://anilist.co/staff/109637","Staff: yanaginagi  (Theme Song Performance (OP))")</f>
        <v>Staff: yanaginagi  (Theme Song Performance (OP))</v>
      </c>
      <c r="B2596" s="5">
        <v>60</v>
      </c>
      <c r="C2596" s="9">
        <v>1</v>
      </c>
      <c r="D2596" s="6">
        <v>1.4054813773717499E-4</v>
      </c>
      <c r="E2596" s="7">
        <v>8.4328882642304998E-3</v>
      </c>
    </row>
    <row r="2597" spans="1:5" x14ac:dyDescent="0.3">
      <c r="A2597" t="str">
        <f>HYPERLINK("https://anilist.co/staff/182539","Staff: Tomomi Teratani (Theme Song Arrangement (OP))")</f>
        <v>Staff: Tomomi Teratani (Theme Song Arrangement (OP))</v>
      </c>
      <c r="B2597" s="5">
        <v>60</v>
      </c>
      <c r="C2597" s="9">
        <v>1</v>
      </c>
      <c r="D2597" s="6">
        <v>1.4054813773717499E-4</v>
      </c>
      <c r="E2597" s="7">
        <v>8.4328882642304998E-3</v>
      </c>
    </row>
    <row r="2598" spans="1:5" x14ac:dyDescent="0.3">
      <c r="A2598" t="str">
        <f>HYPERLINK("https://anilist.co/staff/167524","Staff: Takahiro Baba (Original Story Assistance)")</f>
        <v>Staff: Takahiro Baba (Original Story Assistance)</v>
      </c>
      <c r="B2598" s="5">
        <v>60</v>
      </c>
      <c r="C2598" s="9">
        <v>1</v>
      </c>
      <c r="D2598" s="6">
        <v>1.4054813773717499E-4</v>
      </c>
      <c r="E2598" s="7">
        <v>8.4328882642304998E-3</v>
      </c>
    </row>
    <row r="2599" spans="1:5" x14ac:dyDescent="0.3">
      <c r="A2599" t="str">
        <f>HYPERLINK("https://anilist.co/staff/97885","Staff:  Key (Production Committee)")</f>
        <v>Staff:  Key (Production Committee)</v>
      </c>
      <c r="B2599" s="5">
        <v>60</v>
      </c>
      <c r="C2599" s="9">
        <v>1</v>
      </c>
      <c r="D2599" s="6">
        <v>1.4054813773717499E-4</v>
      </c>
      <c r="E2599" s="7">
        <v>8.4328882642304998E-3</v>
      </c>
    </row>
    <row r="2600" spans="1:5" x14ac:dyDescent="0.3">
      <c r="A2600" t="str">
        <f>HYPERLINK("https://anilist.co/staff/119609","Staff: Clifford Chapin (ADR Director (English; eps 1-7, 10))")</f>
        <v>Staff: Clifford Chapin (ADR Director (English; eps 1-7, 10))</v>
      </c>
      <c r="B2600" s="5">
        <v>60</v>
      </c>
      <c r="C2600" s="9">
        <v>1</v>
      </c>
      <c r="D2600" s="6">
        <v>1.4054813773717499E-4</v>
      </c>
      <c r="E2600" s="7">
        <v>8.4328882642304998E-3</v>
      </c>
    </row>
    <row r="2601" spans="1:5" x14ac:dyDescent="0.3">
      <c r="A2601" t="str">
        <f>HYPERLINK("https://anilist.co/staff/95313","Staff: Caitlin Glass (ADR Director (English; eps 8, 9, 11, 12))")</f>
        <v>Staff: Caitlin Glass (ADR Director (English; eps 8, 9, 11, 12))</v>
      </c>
      <c r="B2601" s="5">
        <v>60</v>
      </c>
      <c r="C2601" s="9">
        <v>1</v>
      </c>
      <c r="D2601" s="6">
        <v>1.4054813773717499E-4</v>
      </c>
      <c r="E2601" s="7">
        <v>8.4328882642304998E-3</v>
      </c>
    </row>
    <row r="2602" spans="1:5" x14ac:dyDescent="0.3">
      <c r="A2602" t="str">
        <f>HYPERLINK("https://anilist.co/staff/155345","Staff: Yousuke Toba (Producer)")</f>
        <v>Staff: Yousuke Toba (Producer)</v>
      </c>
      <c r="B2602" s="5">
        <v>60</v>
      </c>
      <c r="C2602" s="9">
        <v>1</v>
      </c>
      <c r="D2602" s="6">
        <v>1.4054813773717499E-4</v>
      </c>
      <c r="E2602" s="7">
        <v>8.4328882642304998E-3</v>
      </c>
    </row>
    <row r="2603" spans="1:5" x14ac:dyDescent="0.3">
      <c r="A2603" t="str">
        <f>HYPERLINK("https://anilist.co/staff/142325","Staff: Tomoyuki Oowada (Associate Producer)")</f>
        <v>Staff: Tomoyuki Oowada (Associate Producer)</v>
      </c>
      <c r="B2603" s="5">
        <v>60</v>
      </c>
      <c r="C2603" s="9">
        <v>1</v>
      </c>
      <c r="D2603" s="6">
        <v>1.4054813773717499E-4</v>
      </c>
      <c r="E2603" s="7">
        <v>8.4328882642304998E-3</v>
      </c>
    </row>
    <row r="2604" spans="1:5" x14ac:dyDescent="0.3">
      <c r="A2604" t="str">
        <f>HYPERLINK("https://anilist.co/staff/142328","Staff: Kozue Kananiwa (Associate Producer)")</f>
        <v>Staff: Kozue Kananiwa (Associate Producer)</v>
      </c>
      <c r="B2604" s="5">
        <v>60</v>
      </c>
      <c r="C2604" s="9">
        <v>1</v>
      </c>
      <c r="D2604" s="6">
        <v>1.4054813773717499E-4</v>
      </c>
      <c r="E2604" s="7">
        <v>8.4328882642304998E-3</v>
      </c>
    </row>
    <row r="2605" spans="1:5" x14ac:dyDescent="0.3">
      <c r="A2605" t="str">
        <f>HYPERLINK("https://anilist.co/staff/120318","Staff: Soborou  (Original Creator)")</f>
        <v>Staff: Soborou  (Original Creator)</v>
      </c>
      <c r="B2605" s="5">
        <v>60</v>
      </c>
      <c r="C2605" s="9">
        <v>1</v>
      </c>
      <c r="D2605" s="6">
        <v>1.4054813773717499E-4</v>
      </c>
      <c r="E2605" s="7">
        <v>8.4328882642304998E-3</v>
      </c>
    </row>
    <row r="2606" spans="1:5" x14ac:dyDescent="0.3">
      <c r="A2606" t="str">
        <f>HYPERLINK("https://anilist.co/staff/107537","Staff: Hiraku Kaneko (Chief Director)")</f>
        <v>Staff: Hiraku Kaneko (Chief Director)</v>
      </c>
      <c r="B2606" s="5">
        <v>60</v>
      </c>
      <c r="C2606" s="9">
        <v>1</v>
      </c>
      <c r="D2606" s="6">
        <v>1.4054813773717499E-4</v>
      </c>
      <c r="E2606" s="7">
        <v>8.4328882642304998E-3</v>
      </c>
    </row>
    <row r="2607" spans="1:5" x14ac:dyDescent="0.3">
      <c r="A2607" t="str">
        <f>HYPERLINK("https://anilist.co/staff/119738","Staff: Kazuhiko Tamura (Character Design)")</f>
        <v>Staff: Kazuhiko Tamura (Character Design)</v>
      </c>
      <c r="B2607" s="5">
        <v>60</v>
      </c>
      <c r="C2607" s="9">
        <v>1</v>
      </c>
      <c r="D2607" s="6">
        <v>1.4054813773717499E-4</v>
      </c>
      <c r="E2607" s="7">
        <v>8.4328882642304998E-3</v>
      </c>
    </row>
    <row r="2608" spans="1:5" x14ac:dyDescent="0.3">
      <c r="A2608" t="str">
        <f>HYPERLINK("https://anilist.co/staff/109441","Staff: Sumire Uesaka (Theme Song Performance (OP))")</f>
        <v>Staff: Sumire Uesaka (Theme Song Performance (OP))</v>
      </c>
      <c r="B2608" s="5">
        <v>60</v>
      </c>
      <c r="C2608" s="9">
        <v>1</v>
      </c>
      <c r="D2608" s="6">
        <v>1.4054813773717499E-4</v>
      </c>
      <c r="E2608" s="7">
        <v>8.4328882642304998E-3</v>
      </c>
    </row>
    <row r="2609" spans="1:5" x14ac:dyDescent="0.3">
      <c r="A2609" t="str">
        <f>HYPERLINK("https://anilist.co/staff/119738","Staff: Kazuhiko Tamura (Chief Animation Director)")</f>
        <v>Staff: Kazuhiko Tamura (Chief Animation Director)</v>
      </c>
      <c r="B2609" s="5">
        <v>60</v>
      </c>
      <c r="C2609" s="9">
        <v>1</v>
      </c>
      <c r="D2609" s="6">
        <v>1.4054813773717499E-4</v>
      </c>
      <c r="E2609" s="7">
        <v>8.4328882642304998E-3</v>
      </c>
    </row>
    <row r="2610" spans="1:5" x14ac:dyDescent="0.3">
      <c r="A2610" t="str">
        <f>HYPERLINK("https://anilist.co/staff/119938","Staff: Hiroto Morishita (Sound Director)")</f>
        <v>Staff: Hiroto Morishita (Sound Director)</v>
      </c>
      <c r="B2610" s="5">
        <v>60</v>
      </c>
      <c r="C2610" s="9">
        <v>1</v>
      </c>
      <c r="D2610" s="6">
        <v>1.4054813773717499E-4</v>
      </c>
      <c r="E2610" s="7">
        <v>8.4328882642304998E-3</v>
      </c>
    </row>
    <row r="2611" spans="1:5" x14ac:dyDescent="0.3">
      <c r="A2611" t="str">
        <f>HYPERLINK("https://anilist.co/staff/121323","Staff: Yuuki Takabayashi (Script)")</f>
        <v>Staff: Yuuki Takabayashi (Script)</v>
      </c>
      <c r="B2611" s="5">
        <v>60</v>
      </c>
      <c r="C2611" s="9">
        <v>1</v>
      </c>
      <c r="D2611" s="6">
        <v>1.4054813773717499E-4</v>
      </c>
      <c r="E2611" s="7">
        <v>8.4328882642304998E-3</v>
      </c>
    </row>
    <row r="2612" spans="1:5" x14ac:dyDescent="0.3">
      <c r="A2612" t="str">
        <f>HYPERLINK("https://anilist.co/staff/119891","Staff: Toshikatsu Tokoro (Storyboard (OP,ED; eps 1-2, 5, 7-8, 10))")</f>
        <v>Staff: Toshikatsu Tokoro (Storyboard (OP,ED; eps 1-2, 5, 7-8, 10))</v>
      </c>
      <c r="B2612" s="5">
        <v>60</v>
      </c>
      <c r="C2612" s="9">
        <v>1</v>
      </c>
      <c r="D2612" s="6">
        <v>1.4054813773717499E-4</v>
      </c>
      <c r="E2612" s="7">
        <v>8.4328882642304998E-3</v>
      </c>
    </row>
    <row r="2613" spans="1:5" x14ac:dyDescent="0.3">
      <c r="A2613" t="str">
        <f>HYPERLINK("https://anilist.co/staff/140608","Staff: Kazuya Fujishiro (Storyboard (eps 6, 9))")</f>
        <v>Staff: Kazuya Fujishiro (Storyboard (eps 6, 9))</v>
      </c>
      <c r="B2613" s="5">
        <v>60</v>
      </c>
      <c r="C2613" s="9">
        <v>1</v>
      </c>
      <c r="D2613" s="6">
        <v>1.4054813773717499E-4</v>
      </c>
      <c r="E2613" s="7">
        <v>8.4328882642304998E-3</v>
      </c>
    </row>
    <row r="2614" spans="1:5" x14ac:dyDescent="0.3">
      <c r="A2614" t="str">
        <f>HYPERLINK("https://anilist.co/staff/140609","Staff: Makoto Nakata (Storyboard (eps 3-4))")</f>
        <v>Staff: Makoto Nakata (Storyboard (eps 3-4))</v>
      </c>
      <c r="B2614" s="5">
        <v>60</v>
      </c>
      <c r="C2614" s="9">
        <v>1</v>
      </c>
      <c r="D2614" s="6">
        <v>1.4054813773717499E-4</v>
      </c>
      <c r="E2614" s="7">
        <v>8.4328882642304998E-3</v>
      </c>
    </row>
    <row r="2615" spans="1:5" x14ac:dyDescent="0.3">
      <c r="A2615" t="str">
        <f>HYPERLINK("https://anilist.co/staff/140608","Staff: Kazuya Fujishiro (Episode Director (eps 6, 9))")</f>
        <v>Staff: Kazuya Fujishiro (Episode Director (eps 6, 9))</v>
      </c>
      <c r="B2615" s="5">
        <v>60</v>
      </c>
      <c r="C2615" s="9">
        <v>1</v>
      </c>
      <c r="D2615" s="6">
        <v>1.4054813773717499E-4</v>
      </c>
      <c r="E2615" s="7">
        <v>8.4328882642304998E-3</v>
      </c>
    </row>
    <row r="2616" spans="1:5" x14ac:dyDescent="0.3">
      <c r="A2616" t="str">
        <f>HYPERLINK("https://anilist.co/staff/119891","Staff: Toshikatsu Tokoro (Episode Director (eps 1-2, 5, 10))")</f>
        <v>Staff: Toshikatsu Tokoro (Episode Director (eps 1-2, 5, 10))</v>
      </c>
      <c r="B2616" s="5">
        <v>60</v>
      </c>
      <c r="C2616" s="9">
        <v>1</v>
      </c>
      <c r="D2616" s="6">
        <v>1.4054813773717499E-4</v>
      </c>
      <c r="E2616" s="7">
        <v>8.4328882642304998E-3</v>
      </c>
    </row>
    <row r="2617" spans="1:5" x14ac:dyDescent="0.3">
      <c r="A2617" t="str">
        <f>HYPERLINK("https://anilist.co/staff/140609","Staff: Makoto Nakata (Episode Director (eps 3-4))")</f>
        <v>Staff: Makoto Nakata (Episode Director (eps 3-4))</v>
      </c>
      <c r="B2617" s="5">
        <v>60</v>
      </c>
      <c r="C2617" s="9">
        <v>1</v>
      </c>
      <c r="D2617" s="6">
        <v>1.4054813773717499E-4</v>
      </c>
      <c r="E2617" s="7">
        <v>8.4328882642304998E-3</v>
      </c>
    </row>
    <row r="2618" spans="1:5" x14ac:dyDescent="0.3">
      <c r="A2618" t="str">
        <f>HYPERLINK("https://anilist.co/staff/140611","Staff: Natsumi Suzumoto (Episode Director (eps 7-8))")</f>
        <v>Staff: Natsumi Suzumoto (Episode Director (eps 7-8))</v>
      </c>
      <c r="B2618" s="5">
        <v>60</v>
      </c>
      <c r="C2618" s="9">
        <v>1</v>
      </c>
      <c r="D2618" s="6">
        <v>1.4054813773717499E-4</v>
      </c>
      <c r="E2618" s="7">
        <v>8.4328882642304998E-3</v>
      </c>
    </row>
    <row r="2619" spans="1:5" x14ac:dyDescent="0.3">
      <c r="A2619" t="str">
        <f>HYPERLINK("https://anilist.co/staff/140610","Staff: Naoyuki Kuzuya (Episode Director (ep 6))")</f>
        <v>Staff: Naoyuki Kuzuya (Episode Director (ep 6))</v>
      </c>
      <c r="B2619" s="5">
        <v>60</v>
      </c>
      <c r="C2619" s="9">
        <v>1</v>
      </c>
      <c r="D2619" s="6">
        <v>1.4054813773717499E-4</v>
      </c>
      <c r="E2619" s="7">
        <v>8.4328882642304998E-3</v>
      </c>
    </row>
    <row r="2620" spans="1:5" x14ac:dyDescent="0.3">
      <c r="A2620" t="str">
        <f>HYPERLINK("https://anilist.co/staff/105617","Staff: Kyle Jones (ADR Director (English))")</f>
        <v>Staff: Kyle Jones (ADR Director (English))</v>
      </c>
      <c r="B2620" s="5">
        <v>60</v>
      </c>
      <c r="C2620" s="9">
        <v>1</v>
      </c>
      <c r="D2620" s="6">
        <v>1.4054813773717499E-4</v>
      </c>
      <c r="E2620" s="7">
        <v>8.4328882642304998E-3</v>
      </c>
    </row>
    <row r="2621" spans="1:5" x14ac:dyDescent="0.3">
      <c r="A2621" t="str">
        <f>HYPERLINK("https://anilist.co/staff/95105","Staff: Yuuko Gotou (Theme Song Performance (ED2))")</f>
        <v>Staff: Yuuko Gotou (Theme Song Performance (ED2))</v>
      </c>
      <c r="B2621" s="5">
        <v>60</v>
      </c>
      <c r="C2621" s="9">
        <v>1</v>
      </c>
      <c r="D2621" s="6">
        <v>1.4054813773717499E-4</v>
      </c>
      <c r="E2621" s="7">
        <v>8.4328882642304998E-3</v>
      </c>
    </row>
    <row r="2622" spans="1:5" x14ac:dyDescent="0.3">
      <c r="A2622" t="str">
        <f>HYPERLINK("https://anilist.co/staff/109441","Staff: Sumire Uesaka (Theme Song Performance (ED1))")</f>
        <v>Staff: Sumire Uesaka (Theme Song Performance (ED1))</v>
      </c>
      <c r="B2622" s="5">
        <v>60</v>
      </c>
      <c r="C2622" s="9">
        <v>1</v>
      </c>
      <c r="D2622" s="6">
        <v>1.4054813773717499E-4</v>
      </c>
      <c r="E2622" s="7">
        <v>8.4328882642304998E-3</v>
      </c>
    </row>
    <row r="2623" spans="1:5" x14ac:dyDescent="0.3">
      <c r="A2623" t="str">
        <f>HYPERLINK("https://anilist.co/staff/107490","Staff: Nozomi Yamamoto (Theme Song Performance (ED3))")</f>
        <v>Staff: Nozomi Yamamoto (Theme Song Performance (ED3))</v>
      </c>
      <c r="B2623" s="5">
        <v>60</v>
      </c>
      <c r="C2623" s="9">
        <v>1</v>
      </c>
      <c r="D2623" s="6">
        <v>1.4054813773717499E-4</v>
      </c>
      <c r="E2623" s="7">
        <v>8.4328882642304998E-3</v>
      </c>
    </row>
    <row r="2624" spans="1:5" x14ac:dyDescent="0.3">
      <c r="A2624" t="s">
        <v>1007</v>
      </c>
      <c r="B2624" s="5">
        <v>60</v>
      </c>
      <c r="C2624" s="9">
        <v>1</v>
      </c>
      <c r="D2624" s="6">
        <v>1.4054813773717499E-4</v>
      </c>
      <c r="E2624" s="7">
        <v>8.4328882642304998E-3</v>
      </c>
    </row>
    <row r="2625" spans="1:5" x14ac:dyDescent="0.3">
      <c r="A2625" t="str">
        <f>HYPERLINK("https://anilist.co/staff/208437","Staff: Michael Egeler (ADR Director (German))")</f>
        <v>Staff: Michael Egeler (ADR Director (German))</v>
      </c>
      <c r="B2625" s="5">
        <v>60</v>
      </c>
      <c r="C2625" s="9">
        <v>1</v>
      </c>
      <c r="D2625" s="6">
        <v>1.4054813773717499E-4</v>
      </c>
      <c r="E2625" s="7">
        <v>8.4328882642304998E-3</v>
      </c>
    </row>
    <row r="2626" spans="1:5" x14ac:dyDescent="0.3">
      <c r="A2626" t="str">
        <f>HYPERLINK("https://anilist.co/staff/98515","Staff: Mari Matsuzawa (Original Creator)")</f>
        <v>Staff: Mari Matsuzawa (Original Creator)</v>
      </c>
      <c r="B2626" s="5">
        <v>60</v>
      </c>
      <c r="C2626" s="9">
        <v>1</v>
      </c>
      <c r="D2626" s="6">
        <v>1.4054813773717499E-4</v>
      </c>
      <c r="E2626" s="7">
        <v>8.4328882642304998E-3</v>
      </c>
    </row>
    <row r="2627" spans="1:5" x14ac:dyDescent="0.3">
      <c r="A2627" t="str">
        <f>HYPERLINK("https://anilist.co/staff/121739","Staff: Atsushi Kobayashi (Storyboard (ep 6))")</f>
        <v>Staff: Atsushi Kobayashi (Storyboard (ep 6))</v>
      </c>
      <c r="B2627" s="5">
        <v>60</v>
      </c>
      <c r="C2627" s="9">
        <v>1</v>
      </c>
      <c r="D2627" s="6">
        <v>1.4054813773717499E-4</v>
      </c>
      <c r="E2627" s="7">
        <v>8.4328882642304998E-3</v>
      </c>
    </row>
    <row r="2628" spans="1:5" x14ac:dyDescent="0.3">
      <c r="A2628" t="str">
        <f>HYPERLINK("https://anilist.co/staff/121739","Staff: Atsushi Kobayashi (Unit Director (ep 6))")</f>
        <v>Staff: Atsushi Kobayashi (Unit Director (ep 6))</v>
      </c>
      <c r="B2628" s="5">
        <v>60</v>
      </c>
      <c r="C2628" s="9">
        <v>1</v>
      </c>
      <c r="D2628" s="6">
        <v>1.4054813773717499E-4</v>
      </c>
      <c r="E2628" s="7">
        <v>8.4328882642304998E-3</v>
      </c>
    </row>
    <row r="2629" spans="1:5" x14ac:dyDescent="0.3">
      <c r="A2629" t="str">
        <f>HYPERLINK("https://anilist.co/staff/121739","Staff: Atsushi Kobayashi (Storyboard Assistance (ep 11))")</f>
        <v>Staff: Atsushi Kobayashi (Storyboard Assistance (ep 11))</v>
      </c>
      <c r="B2629" s="5">
        <v>60</v>
      </c>
      <c r="C2629" s="9">
        <v>1</v>
      </c>
      <c r="D2629" s="6">
        <v>1.4054813773717499E-4</v>
      </c>
      <c r="E2629" s="7">
        <v>8.4328882642304998E-3</v>
      </c>
    </row>
    <row r="2630" spans="1:5" x14ac:dyDescent="0.3">
      <c r="A2630" t="str">
        <f>HYPERLINK("https://anilist.co/staff/123226","Staff: Izuro Ijuuin (Key Animation (OP))")</f>
        <v>Staff: Izuro Ijuuin (Key Animation (OP))</v>
      </c>
      <c r="B2630" s="5">
        <v>60</v>
      </c>
      <c r="C2630" s="9">
        <v>1</v>
      </c>
      <c r="D2630" s="6">
        <v>1.4054813773717499E-4</v>
      </c>
      <c r="E2630" s="7">
        <v>8.4328882642304998E-3</v>
      </c>
    </row>
    <row r="2631" spans="1:5" x14ac:dyDescent="0.3">
      <c r="A2631" t="str">
        <f>HYPERLINK("https://anilist.co/staff/119110","Staff: Hiroyuki Hata (Director)")</f>
        <v>Staff: Hiroyuki Hata (Director)</v>
      </c>
      <c r="B2631" s="5">
        <v>60</v>
      </c>
      <c r="C2631" s="9">
        <v>1</v>
      </c>
      <c r="D2631" s="6">
        <v>1.4054813773717499E-4</v>
      </c>
      <c r="E2631" s="7">
        <v>8.4328882642304998E-3</v>
      </c>
    </row>
    <row r="2632" spans="1:5" x14ac:dyDescent="0.3">
      <c r="A2632" t="str">
        <f>HYPERLINK("https://anilist.co/staff/119110","Staff: Hiroyuki Hata (Storyboard (OP, ED, eps 1, 4, 7, 12))")</f>
        <v>Staff: Hiroyuki Hata (Storyboard (OP, ED, eps 1, 4, 7, 12))</v>
      </c>
      <c r="B2632" s="5">
        <v>60</v>
      </c>
      <c r="C2632" s="9">
        <v>1</v>
      </c>
      <c r="D2632" s="6">
        <v>1.4054813773717499E-4</v>
      </c>
      <c r="E2632" s="7">
        <v>8.4328882642304998E-3</v>
      </c>
    </row>
    <row r="2633" spans="1:5" x14ac:dyDescent="0.3">
      <c r="A2633" t="str">
        <f>HYPERLINK("https://anilist.co/staff/134794","Staff: Daisuke Hiramaki (Episode Director (ep 11))")</f>
        <v>Staff: Daisuke Hiramaki (Episode Director (ep 11))</v>
      </c>
      <c r="B2633" s="5">
        <v>60</v>
      </c>
      <c r="C2633" s="9">
        <v>1</v>
      </c>
      <c r="D2633" s="6">
        <v>1.4054813773717499E-4</v>
      </c>
      <c r="E2633" s="7">
        <v>8.4328882642304998E-3</v>
      </c>
    </row>
    <row r="2634" spans="1:5" x14ac:dyDescent="0.3">
      <c r="A2634" t="str">
        <f>HYPERLINK("https://anilist.co/staff/120122","Staff: Chinami Hashimoto (Theme Song Performance (OP))")</f>
        <v>Staff: Chinami Hashimoto (Theme Song Performance (OP))</v>
      </c>
      <c r="B2634" s="5">
        <v>60</v>
      </c>
      <c r="C2634" s="9">
        <v>1</v>
      </c>
      <c r="D2634" s="6">
        <v>1.4054813773717499E-4</v>
      </c>
      <c r="E2634" s="7">
        <v>8.4328882642304998E-3</v>
      </c>
    </row>
    <row r="2635" spans="1:5" x14ac:dyDescent="0.3">
      <c r="A2635" t="str">
        <f>HYPERLINK("https://anilist.co/staff/103555","Staff: Hisako Kanemoto (Theme Song Performance (OP))")</f>
        <v>Staff: Hisako Kanemoto (Theme Song Performance (OP))</v>
      </c>
      <c r="B2635" s="5">
        <v>60</v>
      </c>
      <c r="C2635" s="9">
        <v>1</v>
      </c>
      <c r="D2635" s="6">
        <v>1.4054813773717499E-4</v>
      </c>
      <c r="E2635" s="7">
        <v>8.4328882642304998E-3</v>
      </c>
    </row>
    <row r="2636" spans="1:5" x14ac:dyDescent="0.3">
      <c r="A2636" t="str">
        <f>HYPERLINK("https://anilist.co/staff/105981","Staff: Yui Ogura (Theme Song Performance (OP, ED))")</f>
        <v>Staff: Yui Ogura (Theme Song Performance (OP, ED))</v>
      </c>
      <c r="B2636" s="5">
        <v>60</v>
      </c>
      <c r="C2636" s="9">
        <v>1</v>
      </c>
      <c r="D2636" s="6">
        <v>1.4054813773717499E-4</v>
      </c>
      <c r="E2636" s="7">
        <v>8.4328882642304998E-3</v>
      </c>
    </row>
    <row r="2637" spans="1:5" x14ac:dyDescent="0.3">
      <c r="A2637" t="str">
        <f>HYPERLINK("https://anilist.co/staff/134794","Staff: Daisuke Hiramaki (Key Animation (OP, eps 1, 5, 11))")</f>
        <v>Staff: Daisuke Hiramaki (Key Animation (OP, eps 1, 5, 11))</v>
      </c>
      <c r="B2637" s="5">
        <v>60</v>
      </c>
      <c r="C2637" s="9">
        <v>1</v>
      </c>
      <c r="D2637" s="6">
        <v>1.4054813773717499E-4</v>
      </c>
      <c r="E2637" s="7">
        <v>8.4328882642304998E-3</v>
      </c>
    </row>
    <row r="2638" spans="1:5" x14ac:dyDescent="0.3">
      <c r="A2638" t="str">
        <f>HYPERLINK("https://anilist.co/staff/134794","Staff: Daisuke Hiramaki (Storyboard (eps 5, 11))")</f>
        <v>Staff: Daisuke Hiramaki (Storyboard (eps 5, 11))</v>
      </c>
      <c r="B2638" s="5">
        <v>60</v>
      </c>
      <c r="C2638" s="9">
        <v>1</v>
      </c>
      <c r="D2638" s="6">
        <v>1.4054813773717499E-4</v>
      </c>
      <c r="E2638" s="7">
        <v>8.4328882642304998E-3</v>
      </c>
    </row>
    <row r="2639" spans="1:5" x14ac:dyDescent="0.3">
      <c r="A2639" t="str">
        <f>HYPERLINK("https://anilist.co/staff/134794","Staff: Daisuke Hiramaki (Animation Director (eps 2, 5))")</f>
        <v>Staff: Daisuke Hiramaki (Animation Director (eps 2, 5))</v>
      </c>
      <c r="B2639" s="5">
        <v>60</v>
      </c>
      <c r="C2639" s="9">
        <v>1</v>
      </c>
      <c r="D2639" s="6">
        <v>1.4054813773717499E-4</v>
      </c>
      <c r="E2639" s="7">
        <v>8.4328882642304998E-3</v>
      </c>
    </row>
    <row r="2640" spans="1:5" x14ac:dyDescent="0.3">
      <c r="A2640" t="str">
        <f>HYPERLINK("https://anilist.co/staff/153343","Staff: Manabu Fukazawa (Storyboard (ep 11))")</f>
        <v>Staff: Manabu Fukazawa (Storyboard (ep 11))</v>
      </c>
      <c r="B2640" s="5">
        <v>60</v>
      </c>
      <c r="C2640" s="9">
        <v>1</v>
      </c>
      <c r="D2640" s="6">
        <v>1.4054813773717499E-4</v>
      </c>
      <c r="E2640" s="7">
        <v>8.4328882642304998E-3</v>
      </c>
    </row>
    <row r="2641" spans="1:5" x14ac:dyDescent="0.3">
      <c r="A2641" t="str">
        <f>HYPERLINK("https://anilist.co/staff/141979","Staff: Kumiko Kawahara (Key Animation (ep 4))")</f>
        <v>Staff: Kumiko Kawahara (Key Animation (ep 4))</v>
      </c>
      <c r="B2641" s="5">
        <v>60</v>
      </c>
      <c r="C2641" s="9">
        <v>1</v>
      </c>
      <c r="D2641" s="6">
        <v>1.4054813773717499E-4</v>
      </c>
      <c r="E2641" s="7">
        <v>8.4328882642304998E-3</v>
      </c>
    </row>
    <row r="2642" spans="1:5" x14ac:dyDescent="0.3">
      <c r="A2642" t="str">
        <f>HYPERLINK("https://anilist.co/staff/141979","Staff: Kumiko Kawahara (2nd Key Animation (ep 1))")</f>
        <v>Staff: Kumiko Kawahara (2nd Key Animation (ep 1))</v>
      </c>
      <c r="B2642" s="5">
        <v>60</v>
      </c>
      <c r="C2642" s="9">
        <v>1</v>
      </c>
      <c r="D2642" s="6">
        <v>1.4054813773717499E-4</v>
      </c>
      <c r="E2642" s="7">
        <v>8.4328882642304998E-3</v>
      </c>
    </row>
    <row r="2643" spans="1:5" x14ac:dyDescent="0.3">
      <c r="A2643" t="str">
        <f>HYPERLINK("https://anilist.co/staff/155645","Staff: Hiroto Katou (Assistant Animation Director (ep 5))")</f>
        <v>Staff: Hiroto Katou (Assistant Animation Director (ep 5))</v>
      </c>
      <c r="B2643" s="5">
        <v>60</v>
      </c>
      <c r="C2643" s="9">
        <v>1</v>
      </c>
      <c r="D2643" s="6">
        <v>1.4054813773717499E-4</v>
      </c>
      <c r="E2643" s="7">
        <v>8.4328882642304998E-3</v>
      </c>
    </row>
    <row r="2644" spans="1:5" x14ac:dyDescent="0.3">
      <c r="A2644" t="str">
        <f>HYPERLINK("https://anilist.co/staff/133344","Staff: Akemi Kobayashi (Animation Director (ep 11))")</f>
        <v>Staff: Akemi Kobayashi (Animation Director (ep 11))</v>
      </c>
      <c r="B2644" s="5">
        <v>60</v>
      </c>
      <c r="C2644" s="9">
        <v>1</v>
      </c>
      <c r="D2644" s="6">
        <v>1.4054813773717499E-4</v>
      </c>
      <c r="E2644" s="7">
        <v>8.4328882642304998E-3</v>
      </c>
    </row>
    <row r="2645" spans="1:5" x14ac:dyDescent="0.3">
      <c r="A2645" t="str">
        <f>HYPERLINK("https://anilist.co/staff/147573","Staff: Keishi Sakai (Key Animation (eps 3, 8))")</f>
        <v>Staff: Keishi Sakai (Key Animation (eps 3, 8))</v>
      </c>
      <c r="B2645" s="5">
        <v>60</v>
      </c>
      <c r="C2645" s="9">
        <v>1</v>
      </c>
      <c r="D2645" s="6">
        <v>1.4054813773717499E-4</v>
      </c>
      <c r="E2645" s="7">
        <v>8.4328882642304998E-3</v>
      </c>
    </row>
    <row r="2646" spans="1:5" x14ac:dyDescent="0.3">
      <c r="A2646" t="str">
        <f>HYPERLINK("https://anilist.co/staff/147573","Staff: Keishi Sakai (Assistant Animation Director (ep 8))")</f>
        <v>Staff: Keishi Sakai (Assistant Animation Director (ep 8))</v>
      </c>
      <c r="B2646" s="5">
        <v>60</v>
      </c>
      <c r="C2646" s="9">
        <v>1</v>
      </c>
      <c r="D2646" s="6">
        <v>1.4054813773717499E-4</v>
      </c>
      <c r="E2646" s="7">
        <v>8.4328882642304998E-3</v>
      </c>
    </row>
    <row r="2647" spans="1:5" x14ac:dyDescent="0.3">
      <c r="A2647" t="str">
        <f>HYPERLINK("https://anilist.co/staff/109791","Staff: Ryousuke Nakanishi (Music)")</f>
        <v>Staff: Ryousuke Nakanishi (Music)</v>
      </c>
      <c r="B2647" s="5">
        <v>60</v>
      </c>
      <c r="C2647" s="9">
        <v>1</v>
      </c>
      <c r="D2647" s="6">
        <v>1.4054813773717499E-4</v>
      </c>
      <c r="E2647" s="7">
        <v>8.4328882642304998E-3</v>
      </c>
    </row>
  </sheetData>
  <autoFilter ref="A1:E5000" xr:uid="{00000000-0001-0000-0000-000000000000}">
    <sortState xmlns:xlrd2="http://schemas.microsoft.com/office/spreadsheetml/2017/richdata2" ref="A2:E1792">
      <sortCondition descending="1" ref="E1:E5000"/>
    </sortState>
  </autoFilter>
  <sortState xmlns:xlrd2="http://schemas.microsoft.com/office/spreadsheetml/2017/richdata2" ref="A2:E2647">
    <sortCondition descending="1" ref="E1:E2647"/>
  </sortState>
  <mergeCells count="10">
    <mergeCell ref="G5:H5"/>
    <mergeCell ref="J5:K5"/>
    <mergeCell ref="M5:N5"/>
    <mergeCell ref="P5:Q5"/>
    <mergeCell ref="AH5:AI5"/>
    <mergeCell ref="S5:T5"/>
    <mergeCell ref="V5:W5"/>
    <mergeCell ref="Y5:Z5"/>
    <mergeCell ref="AB5:AC5"/>
    <mergeCell ref="AE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Reaven Dupitas</cp:lastModifiedBy>
  <dcterms:modified xsi:type="dcterms:W3CDTF">2022-08-29T07:48:53Z</dcterms:modified>
</cp:coreProperties>
</file>